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odeName="ThisWorkbook"/>
  <mc:AlternateContent xmlns:mc="http://schemas.openxmlformats.org/markup-compatibility/2006">
    <mc:Choice Requires="x15">
      <x15ac:absPath xmlns:x15ac="http://schemas.microsoft.com/office/spreadsheetml/2010/11/ac" url="G:\HydrauCalc\Exemples systèmes complets\Exemples HydrauCalcXL\__Tutoriels\3 - Introduction to Fluid Mechanics - Fox and McDonald’s - 9th Ed - Example 8.11 - page 323\"/>
    </mc:Choice>
  </mc:AlternateContent>
  <xr:revisionPtr revIDLastSave="0" documentId="13_ncr:1_{7ADB32A4-8A23-4217-83D9-D5BBD7D3F108}" xr6:coauthVersionLast="46" xr6:coauthVersionMax="47" xr10:uidLastSave="{00000000-0000-0000-0000-000000000000}"/>
  <bookViews>
    <workbookView xWindow="-28920" yWindow="-120" windowWidth="29040" windowHeight="16440" activeTab="1" xr2:uid="{00000000-000D-0000-FFFF-FFFF00000000}"/>
  </bookViews>
  <sheets>
    <sheet name="Readme" sheetId="7" r:id="rId1"/>
    <sheet name="System" sheetId="5" r:id="rId2"/>
  </sheets>
  <definedNames>
    <definedName name="Cd">System!$E$19</definedName>
    <definedName name="D_pA">System!$D$31</definedName>
    <definedName name="D_pB">System!$D$32</definedName>
    <definedName name="D_pC">System!$D$33</definedName>
    <definedName name="D_pD">System!$D$34</definedName>
    <definedName name="D_pE">System!$D$35</definedName>
    <definedName name="D_pF">System!$D$36</definedName>
    <definedName name="D_pG">System!$D$37</definedName>
    <definedName name="D_pH">System!$D$38</definedName>
    <definedName name="dH_pA">System!$U$31</definedName>
    <definedName name="dH_pB">System!$U$32</definedName>
    <definedName name="dH_pC">System!$U$33</definedName>
    <definedName name="dH_pD">System!$U$34</definedName>
    <definedName name="dH_pE">System!$U$35</definedName>
    <definedName name="dH_pF">System!$U$36</definedName>
    <definedName name="dH_pG">System!$U$37</definedName>
    <definedName name="dH_pH">System!$U$38</definedName>
    <definedName name="dP_pA">System!$L$31</definedName>
    <definedName name="dP_pB">System!$L$32</definedName>
    <definedName name="dP_pC">System!$L$33</definedName>
    <definedName name="dP_pD">System!$L$34</definedName>
    <definedName name="dP_pE">System!$L$35</definedName>
    <definedName name="dP_pF">System!$L$36</definedName>
    <definedName name="dP_pG">System!$L$37</definedName>
    <definedName name="dP_pH">System!$L$38</definedName>
    <definedName name="e_pA">System!$H$31</definedName>
    <definedName name="e_pB">System!$H$32</definedName>
    <definedName name="e_pC">System!$H$33</definedName>
    <definedName name="e_pD">System!$H$34</definedName>
    <definedName name="e_pE">System!$H$35</definedName>
    <definedName name="e_pF">System!$H$36</definedName>
    <definedName name="e_pG">System!$H$37</definedName>
    <definedName name="e_pH">System!$H$38</definedName>
    <definedName name="H_pt1">System!$D$26</definedName>
    <definedName name="H_pt5">System!$D$27</definedName>
    <definedName name="L_pA">System!$F$31</definedName>
    <definedName name="L_pB">System!$F$32</definedName>
    <definedName name="L_pC">System!$F$33</definedName>
    <definedName name="L_pD">System!$F$34</definedName>
    <definedName name="L_pE">System!$F$35</definedName>
    <definedName name="L_pF">System!$F$36</definedName>
    <definedName name="L_pG">System!$F$37</definedName>
    <definedName name="L_pH">System!$F$38</definedName>
    <definedName name="Mu">System!#REF!</definedName>
    <definedName name="nu">System!$E$23</definedName>
    <definedName name="OpenSolver_ChosenSolver" localSheetId="1" hidden="1">Cbc</definedName>
    <definedName name="OpenSolver_DualsNewSheet" localSheetId="1" hidden="1">0</definedName>
    <definedName name="OpenSolver_LinearityCheck" localSheetId="1" hidden="1">1</definedName>
    <definedName name="OpenSolver_UpdateSensitivity" localSheetId="1" hidden="1">1</definedName>
    <definedName name="Q_pA">System!$S$6</definedName>
    <definedName name="Q_pB">System!$S$7</definedName>
    <definedName name="Q_pC">System!$S$15</definedName>
    <definedName name="Q_pD">System!$S$16</definedName>
    <definedName name="Q_pE">System!$S$17</definedName>
    <definedName name="Q_pF">System!$S$8</definedName>
    <definedName name="Q_pG">System!$S$18</definedName>
    <definedName name="Q_pH">System!$S$19</definedName>
    <definedName name="rho">System!$E$22</definedName>
    <definedName name="sL">System!$S$22</definedName>
    <definedName name="solver_adj" localSheetId="1" hidden="1">System!$S$6:$S$8</definedName>
    <definedName name="solver_cvg" localSheetId="1" hidden="1">0.0001</definedName>
    <definedName name="solver_drv" localSheetId="1" hidden="1">1</definedName>
    <definedName name="solver_eng" localSheetId="0" hidden="1">1</definedName>
    <definedName name="solver_eng" localSheetId="1" hidden="1">1</definedName>
    <definedName name="solver_est" localSheetId="1" hidden="1">1</definedName>
    <definedName name="solver_itr" localSheetId="1" hidden="1">2147483647</definedName>
    <definedName name="solver_lhs1" localSheetId="1" hidden="1">System!$S$10</definedName>
    <definedName name="solver_lhs2" localSheetId="1" hidden="1">System!$S$11</definedName>
    <definedName name="solver_lhs3" localSheetId="1" hidden="1">System!$S$12</definedName>
    <definedName name="solver_lhs4" localSheetId="1" hidden="1">System!$T$22</definedName>
    <definedName name="solver_lhs5" localSheetId="1" hidden="1">System!$S$28</definedName>
    <definedName name="solver_lhs6" localSheetId="1" hidden="1">System!#REF!</definedName>
    <definedName name="solver_lhs7" localSheetId="1" hidden="1">System!#REF!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0" hidden="1">1</definedName>
    <definedName name="solver_neg" localSheetId="1" hidden="1">1</definedName>
    <definedName name="solver_nod" localSheetId="1" hidden="1">2147483647</definedName>
    <definedName name="solver_num" localSheetId="0" hidden="1">0</definedName>
    <definedName name="solver_num" localSheetId="1" hidden="1">3</definedName>
    <definedName name="solver_nwt" localSheetId="1" hidden="1">1</definedName>
    <definedName name="solver_opt" localSheetId="0" hidden="1">Readme!$T$60</definedName>
    <definedName name="solver_pre" localSheetId="1" hidden="1">0.000001</definedName>
    <definedName name="solver_rbv" localSheetId="1" hidden="1">1</definedName>
    <definedName name="solver_rel1" localSheetId="1" hidden="1">2</definedName>
    <definedName name="solver_rel2" localSheetId="1" hidden="1">2</definedName>
    <definedName name="solver_rel3" localSheetId="1" hidden="1">2</definedName>
    <definedName name="solver_rel4" localSheetId="1" hidden="1">2</definedName>
    <definedName name="solver_rel5" localSheetId="1" hidden="1">2</definedName>
    <definedName name="solver_rel6" localSheetId="1" hidden="1">3</definedName>
    <definedName name="solver_rel7" localSheetId="1" hidden="1">3</definedName>
    <definedName name="solver_rhs1" localSheetId="1" hidden="1">0</definedName>
    <definedName name="solver_rhs2" localSheetId="1" hidden="1">0</definedName>
    <definedName name="solver_rhs3" localSheetId="1" hidden="1">0</definedName>
    <definedName name="solver_rhs4" localSheetId="1" hidden="1">dP_b</definedName>
    <definedName name="solver_rhs5" localSheetId="1" hidden="1">dP_b</definedName>
    <definedName name="solver_rhs6" localSheetId="1" hidden="1">0.0001</definedName>
    <definedName name="solver_rhs7" localSheetId="1" hidden="1">0.0001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0" hidden="1">1</definedName>
    <definedName name="solver_typ" localSheetId="1" hidden="1">3</definedName>
    <definedName name="solver_val" localSheetId="0" hidden="1">0</definedName>
    <definedName name="solver_val" localSheetId="1" hidden="1">0</definedName>
    <definedName name="solver_ver" localSheetId="0" hidden="1">3</definedName>
    <definedName name="solver_ver" localSheetId="1" hidden="1">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97" i="7" l="1"/>
  <c r="W98" i="7" s="1"/>
  <c r="V97" i="7"/>
  <c r="V98" i="7" s="1"/>
  <c r="U97" i="7"/>
  <c r="U98" i="7" s="1"/>
  <c r="E22" i="5"/>
  <c r="S17" i="5"/>
  <c r="L38" i="5"/>
  <c r="L37" i="5"/>
  <c r="L36" i="5"/>
  <c r="L35" i="5"/>
  <c r="L34" i="5"/>
  <c r="L33" i="5"/>
  <c r="L31" i="5"/>
  <c r="L32" i="5"/>
  <c r="G124" i="7" l="1"/>
  <c r="H123" i="7" l="1"/>
  <c r="G130" i="7"/>
  <c r="G129" i="7"/>
  <c r="G128" i="7"/>
  <c r="G127" i="7"/>
  <c r="G126" i="7"/>
  <c r="G125" i="7"/>
  <c r="G123" i="7"/>
  <c r="H38" i="5"/>
  <c r="F38" i="5"/>
  <c r="D38" i="5"/>
  <c r="H37" i="5"/>
  <c r="F37" i="5"/>
  <c r="D37" i="5"/>
  <c r="H36" i="5"/>
  <c r="F36" i="5"/>
  <c r="D36" i="5"/>
  <c r="H35" i="5"/>
  <c r="F35" i="5"/>
  <c r="D35" i="5"/>
  <c r="H34" i="5"/>
  <c r="F34" i="5"/>
  <c r="D34" i="5"/>
  <c r="H33" i="5"/>
  <c r="F33" i="5"/>
  <c r="D33" i="5"/>
  <c r="H32" i="5"/>
  <c r="F32" i="5"/>
  <c r="D32" i="5"/>
  <c r="H31" i="5"/>
  <c r="F31" i="5"/>
  <c r="D31" i="5"/>
  <c r="D27" i="5"/>
  <c r="D26" i="5"/>
  <c r="S22" i="5" l="1"/>
  <c r="I123" i="7"/>
  <c r="S15" i="5"/>
  <c r="S16" i="5"/>
  <c r="H128" i="7" l="1"/>
  <c r="I128" i="7" s="1"/>
  <c r="H124" i="7"/>
  <c r="I124" i="7" s="1"/>
  <c r="H126" i="7"/>
  <c r="I126" i="7" s="1"/>
  <c r="H125" i="7"/>
  <c r="I125" i="7" s="1"/>
  <c r="U33" i="5"/>
  <c r="U36" i="5"/>
  <c r="U32" i="5"/>
  <c r="U34" i="5"/>
  <c r="U31" i="5"/>
  <c r="S10" i="5" l="1"/>
  <c r="S18" i="5" l="1"/>
  <c r="S19" i="5"/>
  <c r="H127" i="7"/>
  <c r="I127" i="7" s="1"/>
  <c r="U35" i="5"/>
  <c r="H130" i="7" l="1"/>
  <c r="I130" i="7" s="1"/>
  <c r="H129" i="7"/>
  <c r="I129" i="7" s="1"/>
  <c r="U38" i="5"/>
  <c r="U37" i="5"/>
  <c r="S11" i="5" l="1"/>
  <c r="S12" i="5"/>
</calcChain>
</file>

<file path=xl/sharedStrings.xml><?xml version="1.0" encoding="utf-8"?>
<sst xmlns="http://schemas.openxmlformats.org/spreadsheetml/2006/main" count="278" uniqueCount="216">
  <si>
    <t>Density</t>
  </si>
  <si>
    <t>Kinematic Viscosity</t>
  </si>
  <si>
    <t>Check data (0/1)</t>
  </si>
  <si>
    <t>Input data</t>
  </si>
  <si>
    <t>Excel calculation</t>
  </si>
  <si>
    <t>rho</t>
  </si>
  <si>
    <t>nu</t>
  </si>
  <si>
    <t>Constraints:</t>
  </si>
  <si>
    <t>Variable name</t>
  </si>
  <si>
    <t>Data verification</t>
  </si>
  <si>
    <t>Cd</t>
  </si>
  <si>
    <t>Pipe data</t>
  </si>
  <si>
    <t>Name</t>
  </si>
  <si>
    <t>Solver data</t>
  </si>
  <si>
    <t>Difference</t>
  </si>
  <si>
    <t>Reference</t>
  </si>
  <si>
    <t>Fluid data (Water 21°C)</t>
  </si>
  <si>
    <t>Reference: Introduction to Fluid Mechanics - Fox and McDonald’s - 9th Ed - Example 8.11 - page 323</t>
  </si>
  <si>
    <t>Pipe A</t>
  </si>
  <si>
    <t>D_pA</t>
  </si>
  <si>
    <t>L_pA</t>
  </si>
  <si>
    <t>e_pA</t>
  </si>
  <si>
    <t>Pipe B</t>
  </si>
  <si>
    <t>D_pB</t>
  </si>
  <si>
    <t>L_pB</t>
  </si>
  <si>
    <t>e_pB</t>
  </si>
  <si>
    <t>Pipe C</t>
  </si>
  <si>
    <t>D_pC</t>
  </si>
  <si>
    <t>L_pC</t>
  </si>
  <si>
    <t>e_pC</t>
  </si>
  <si>
    <t>Pipe D</t>
  </si>
  <si>
    <t>D_pD</t>
  </si>
  <si>
    <t>L_pD</t>
  </si>
  <si>
    <t>e_pD</t>
  </si>
  <si>
    <t>Pipe E</t>
  </si>
  <si>
    <t>D_pE</t>
  </si>
  <si>
    <t>L_pE</t>
  </si>
  <si>
    <t>e_pE</t>
  </si>
  <si>
    <t>Pipe F</t>
  </si>
  <si>
    <t>D_pF</t>
  </si>
  <si>
    <t>L_pF</t>
  </si>
  <si>
    <t>e_pF</t>
  </si>
  <si>
    <t>Pipe G</t>
  </si>
  <si>
    <t>D_pG</t>
  </si>
  <si>
    <t>L_pG</t>
  </si>
  <si>
    <t>e_pG</t>
  </si>
  <si>
    <t>Pipe H</t>
  </si>
  <si>
    <t>D_pH</t>
  </si>
  <si>
    <t>L_pH</t>
  </si>
  <si>
    <t>e_pH</t>
  </si>
  <si>
    <t>dP_pA</t>
  </si>
  <si>
    <t>dP_pB</t>
  </si>
  <si>
    <t>dP_pC</t>
  </si>
  <si>
    <t>dP_pD</t>
  </si>
  <si>
    <t>dP_pE</t>
  </si>
  <si>
    <t>dP_pF</t>
  </si>
  <si>
    <t>dP_pG</t>
  </si>
  <si>
    <t>dP_pH</t>
  </si>
  <si>
    <t>Q_pA</t>
  </si>
  <si>
    <t>Q_pB</t>
  </si>
  <si>
    <t>Q_pC</t>
  </si>
  <si>
    <t>Q_pD</t>
  </si>
  <si>
    <t>Q_pE</t>
  </si>
  <si>
    <t>Q_pF</t>
  </si>
  <si>
    <t>Q_pG</t>
  </si>
  <si>
    <t>Q_pH</t>
  </si>
  <si>
    <t>dH_pA</t>
  </si>
  <si>
    <t>dH_pB</t>
  </si>
  <si>
    <t>dH_pC</t>
  </si>
  <si>
    <t>dH_pD</t>
  </si>
  <si>
    <t>dH_pE</t>
  </si>
  <si>
    <t>dH_pF</t>
  </si>
  <si>
    <t>dH_pG</t>
  </si>
  <si>
    <t>dH_pH</t>
  </si>
  <si>
    <t>Deducted flowrate:</t>
  </si>
  <si>
    <t>Q_pC = Q_pA</t>
  </si>
  <si>
    <t>Q_pD = Q_pA</t>
  </si>
  <si>
    <t>Q_pG = Q_pE - Q_pF</t>
  </si>
  <si>
    <t>Q_pH = Q_pE</t>
  </si>
  <si>
    <t>Static head</t>
  </si>
  <si>
    <t>pt1</t>
  </si>
  <si>
    <t>pt5</t>
  </si>
  <si>
    <t>https://hydraucalc.com</t>
  </si>
  <si>
    <t>Legend</t>
  </si>
  <si>
    <t>HydrauCalc calculation</t>
  </si>
  <si>
    <t>Unit symbol</t>
  </si>
  <si>
    <r>
      <t>Diameter (</t>
    </r>
    <r>
      <rPr>
        <sz val="11"/>
        <color rgb="FF7030A0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>)</t>
    </r>
  </si>
  <si>
    <r>
      <t>Length (</t>
    </r>
    <r>
      <rPr>
        <sz val="11"/>
        <color rgb="FF7030A0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>)</t>
    </r>
  </si>
  <si>
    <r>
      <t>Absolute roughness (</t>
    </r>
    <r>
      <rPr>
        <sz val="11"/>
        <color rgb="FF7030A0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>)</t>
    </r>
  </si>
  <si>
    <t>Pipe pressure loss</t>
  </si>
  <si>
    <t>kg/m³</t>
  </si>
  <si>
    <t>m²/s</t>
  </si>
  <si>
    <t>m</t>
  </si>
  <si>
    <t>Pa</t>
  </si>
  <si>
    <t>Value to be computed by solver (variable cells)</t>
  </si>
  <si>
    <t>m³/s</t>
  </si>
  <si>
    <t>= Q_pA</t>
  </si>
  <si>
    <t>= Q_pE - Q_pF</t>
  </si>
  <si>
    <t>= Q_pE</t>
  </si>
  <si>
    <t>Pipe head loss</t>
  </si>
  <si>
    <t>H_pt1</t>
  </si>
  <si>
    <t>H_pt5</t>
  </si>
  <si>
    <t>= dH_pE + dH_pF + dH_pH - dH_pB</t>
  </si>
  <si>
    <t>= dH_pG - dH_pF</t>
  </si>
  <si>
    <t>This problem illustrates use of Excel to solve a set of coupled, nonlinear equations for unknown flow rates.</t>
  </si>
  <si>
    <t>Comparison of volume flowrates (m³/s)</t>
  </si>
  <si>
    <t>Content of neighboring cell</t>
  </si>
  <si>
    <t>sL</t>
  </si>
  <si>
    <t>= H_pt1 - H_pt5</t>
  </si>
  <si>
    <t>= dH_pA + dH_pB + dH_pC + dH_pD - sL</t>
  </si>
  <si>
    <t>dH_pA + dH_pB + dH_pC + dH_pD - sL = 0</t>
  </si>
  <si>
    <t>dH_pE + dH_pF + dH_pH - dH_pB = 0</t>
  </si>
  <si>
    <t>dH_pG - dH_pF = 0</t>
  </si>
  <si>
    <t xml:space="preserve">    Pipe A</t>
  </si>
  <si>
    <t xml:space="preserve">    Pipe E</t>
  </si>
  <si>
    <t xml:space="preserve">    Pipe F</t>
  </si>
  <si>
    <t xml:space="preserve">    Pipe B</t>
  </si>
  <si>
    <t xml:space="preserve">    Pipe C</t>
  </si>
  <si>
    <t xml:space="preserve">    Pipe D</t>
  </si>
  <si>
    <t xml:space="preserve">    Pipe G</t>
  </si>
  <si>
    <t xml:space="preserve">    Pipe H</t>
  </si>
  <si>
    <t>Description of the system:</t>
  </si>
  <si>
    <t>Resolution of problem:</t>
  </si>
  <si>
    <t>Assumptions:</t>
  </si>
  <si>
    <t>Ignore gravity effects.</t>
  </si>
  <si>
    <t>Ignore minor losses.</t>
  </si>
  <si>
    <t>The net flow out of any node (junction) is zero.</t>
  </si>
  <si>
    <t>We have also the following pressure drop constraints:</t>
  </si>
  <si>
    <t>h2−3 : hB = hE + hF + hH</t>
  </si>
  <si>
    <t>h1−5 : h = hA + hB + hC + hD</t>
  </si>
  <si>
    <t>h6−7 : hF = hG</t>
  </si>
  <si>
    <t>The purpose of this example is to demonstrate the use of the Excel spreadsheet and its equation solver</t>
  </si>
  <si>
    <t>to solve a pipe network comprising parallel and series connections.</t>
  </si>
  <si>
    <t>In this system, the geometry of the pipes is known as well as the static pressures at the ends of the circuit.</t>
  </si>
  <si>
    <t>To make the analysis clearer, the singular pressure drops are ignored,</t>
  </si>
  <si>
    <t>singular pressure drops can be easily incorporated later,</t>
  </si>
  <si>
    <t>and the effects of gravity are ignored.</t>
  </si>
  <si>
    <t>The computational solution of pipe flow problems involves the simultaneous solution of the</t>
  </si>
  <si>
    <t>continuity and energy equations along with determination of the friction factor as a function of</t>
  </si>
  <si>
    <t>Reynolds number and relative roughness. The system of equations is nonlinear and thus requires</t>
  </si>
  <si>
    <t>an iterative solution.</t>
  </si>
  <si>
    <t>Pipe friction factors are calculated using the Colebrook-White equation</t>
  </si>
  <si>
    <t>Q_PB</t>
  </si>
  <si>
    <t>= Q_pA - Q_pB</t>
  </si>
  <si>
    <t>Q_pE = Q_pA - Q_pB</t>
  </si>
  <si>
    <t>Knowing the flow rates in branches A, B and F makes it possible to deduce those of the other branches</t>
  </si>
  <si>
    <t>from the following equations:</t>
  </si>
  <si>
    <t>To use Solver, the problem can be viewed as a system of three equations (constraints)</t>
  </si>
  <si>
    <t xml:space="preserve"> for three unknowns who is the flowrates Q_pA, Q_pB and Q_pF.</t>
  </si>
  <si>
    <t>We set, as unknowns of the system, the flow rates Q_pA, Q_pB and Q_pF.</t>
  </si>
  <si>
    <t>For this, we use Excel's equations solver (which requires the solver to be installed into Excel).</t>
  </si>
  <si>
    <t>In this calculation case, the determination of the fluid flowrates in the system requires a certain number of iterations.</t>
  </si>
  <si>
    <t>The use of the solver for the flowrates search requires giving an estimate of the value of the flow Q_pA, Q_pB and Q_pF.</t>
  </si>
  <si>
    <t>Pipe networks are much more difficult to analyze than single-path problems,</t>
  </si>
  <si>
    <t>almost always requiring iterative solution methods.</t>
  </si>
  <si>
    <t>Description of the contents of the worksheet:</t>
  </si>
  <si>
    <t>• The input data is represented by the formatted cells as follows:</t>
  </si>
  <si>
    <t>Characteristics of the fluid:</t>
  </si>
  <si>
    <t>Here, the kinematic viscosity is deduced from the density and dynamic viscosity.</t>
  </si>
  <si>
    <t>Static head imposed in the system:</t>
  </si>
  <si>
    <t>Characteristics of system pipes:</t>
  </si>
  <si>
    <t>• The calculations performed using the functions of the HydrauCalcXL add-in are represented by the cells formatted as follows:</t>
  </si>
  <si>
    <t>The functions used are recalled in gray text.</t>
  </si>
  <si>
    <t>Pressure loss in the pipes:</t>
  </si>
  <si>
    <t>Head loss in the pipes:</t>
  </si>
  <si>
    <t>• The calculations performed using functions built into Excel are represented by cells formatted as follows:</t>
  </si>
  <si>
    <t>Static lift:</t>
  </si>
  <si>
    <t>• Solver data for finding a solution:</t>
  </si>
  <si>
    <t>Remarks:</t>
  </si>
  <si>
    <t>Note 1:</t>
  </si>
  <si>
    <t>Cells containing input data or calculated values are named using Excel's Name Manager.</t>
  </si>
  <si>
    <t>This allows you to manipulate variable names in functions rather than cell addresses.</t>
  </si>
  <si>
    <t>When the cell is named, the name of the cell is recalled to the left of it by a fuschia-colored text.</t>
  </si>
  <si>
    <t>Note 2:</t>
  </si>
  <si>
    <t>A particular cell named "Cd" makes it possible, when setting up the functions for calculating the components,</t>
  </si>
  <si>
    <t>to deactivate all error messages due to unspecified parameters which take the value 0 by default,</t>
  </si>
  <si>
    <t>and which causes divisions by 0 (# DIV / 0!).</t>
  </si>
  <si>
    <t>and data out of validity limits.</t>
  </si>
  <si>
    <t>It is advised to assign the value 0 to this cell during the modelling of the system,</t>
  </si>
  <si>
    <t>and the value 1 during the execution of the calculations.</t>
  </si>
  <si>
    <t>Comparison of results with the reference:</t>
  </si>
  <si>
    <t>In the present system, these initial guesses made it possible to find the solution:</t>
  </si>
  <si>
    <t>To avoid zero or negative flows, it is important to respect the following estimation rule:</t>
  </si>
  <si>
    <t>Q_pF &lt;  Q_pB &lt; Q_pA</t>
  </si>
  <si>
    <t>The necessary data for the solver are:</t>
  </si>
  <si>
    <t>the variable cells which, in our case, is the desired flowrates Q_pF,  Q_pB and Q_pA (cells R6:R8),</t>
  </si>
  <si>
    <t>the constraint to be respected (cells R10, R11 and R12).</t>
  </si>
  <si>
    <t>Guessed values for variables cells are necessary.</t>
  </si>
  <si>
    <t>The following window is displayed if the solver find a solution.</t>
  </si>
  <si>
    <t>The results obtained are presented in the following figure:</t>
  </si>
  <si>
    <t>HydrauCalcXL</t>
  </si>
  <si>
    <t>R2022a</t>
  </si>
  <si>
    <t>= HeadLoss_dP_Rho_g(dP_pA;rho)</t>
  </si>
  <si>
    <t>= HeadLoss_dP_Rho_g(dP_pB;rho)</t>
  </si>
  <si>
    <t>= HeadLoss_dP_Rho_g(dP_pC;rho)</t>
  </si>
  <si>
    <t>= HeadLoss_dP_Rho_g(dP_pD;rho)</t>
  </si>
  <si>
    <t>= HeadLoss_dP_Rho_g(dP_pE;rho)</t>
  </si>
  <si>
    <t>= HeadLoss_dP_Rho_g(dP_pF;rho)</t>
  </si>
  <si>
    <t>= HeadLoss_dP_Rho_g(dP_pG;rho)</t>
  </si>
  <si>
    <t>= HeadLoss_dP_Rho_g(dP_pH;rho)</t>
  </si>
  <si>
    <t>Find: the volume flowrate of each branch</t>
  </si>
  <si>
    <t>which requires knowing the direction of fluid flow in each branch.</t>
  </si>
  <si>
    <t>The use of the HydrauCalcXL library imposes positive flowrates in all the branches of the studied system,</t>
  </si>
  <si>
    <t>Example: cell E22 has the name "rho" which will be used in functions having density as a parameter.</t>
  </si>
  <si>
    <t xml:space="preserve"> = PipeStraightCircularCrossSection_dP(D_pA;L_pA;Q_pA;rho;nu;;e_pA;;;Cd;J31)</t>
  </si>
  <si>
    <t xml:space="preserve"> = PipeStraightCircularCrossSection_dP(D_pB;L_pB;Q_pB;rho;nu;;e_pB;;;Cd;J32)</t>
  </si>
  <si>
    <t xml:space="preserve"> = PipeStraightCircularCrossSection_dP(D_pC;L_pC;Q_pC;rho;nu;;e_pC;;;Cd;J33)</t>
  </si>
  <si>
    <t xml:space="preserve"> = PipeStraightCircularCrossSection_dP(D_pD;L_pD;Q_pD;rho;nu;;e_pD;;;Cd;J34)</t>
  </si>
  <si>
    <t xml:space="preserve"> = PipeStraightCircularCrossSection_dP(D_pE;L_pE;Q_pE;rho;nu;;e_pE;;;Cd;J35)</t>
  </si>
  <si>
    <t xml:space="preserve"> = PipeStraightCircularCrossSection_dP(D_pF;L_pF;Q_pF;rho;nu;;e_pF;;;Cd;J36)</t>
  </si>
  <si>
    <t xml:space="preserve"> = PipeStraightCircularCrossSection_dP(D_pG;L_pG;Q_pG;rho;nu;;e_pG;;;Cd;J37)</t>
  </si>
  <si>
    <t xml:space="preserve"> = PipeStraightCircularCrossSection_dP(D_pH;L_pH;Q_pH;rho;nu;;e_pH;;;Cd;J38)</t>
  </si>
  <si>
    <t>Important notes:</t>
  </si>
  <si>
    <t>Before each new execution of the solver, it is advisable to replace the variable cells by the initial guesses.</t>
  </si>
  <si>
    <t>Sometimes the solver does not find a solution when it is restarted while keeping the variable cells</t>
  </si>
  <si>
    <t>resulting from the previous calculation.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</si>
</sst>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0"/>
    <numFmt numFmtId="165" formatCode="0.000E+00"/>
    <numFmt numFmtId="166" formatCode="0.0000E+00"/>
    <numFmt numFmtId="167" formatCode="0.000"/>
    <numFmt numFmtId="168" formatCode="0.000000"/>
  </numFmts>
  <fonts count="30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8"/>
      <name val="Calibri"/>
      <family val="2"/>
      <scheme val="minor"/>
    </font>
    <font>
      <b/>
      <sz val="11"/>
      <color theme="8"/>
      <name val="Calibri"/>
      <family val="2"/>
      <scheme val="minor"/>
    </font>
    <font>
      <sz val="11"/>
      <color rgb="FF548235"/>
      <name val="Calibri"/>
      <family val="2"/>
      <scheme val="minor"/>
    </font>
    <font>
      <sz val="11"/>
      <color rgb="FFED7D31"/>
      <name val="Calibri"/>
      <family val="2"/>
      <scheme val="minor"/>
    </font>
    <font>
      <sz val="11"/>
      <color theme="5"/>
      <name val="Calibri"/>
      <family val="2"/>
      <scheme val="minor"/>
    </font>
    <font>
      <sz val="8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FF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538DD5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F040D7"/>
      <name val="Calibri"/>
      <family val="2"/>
      <scheme val="minor"/>
    </font>
    <font>
      <sz val="10"/>
      <name val="Calibri"/>
      <family val="2"/>
      <scheme val="minor"/>
    </font>
    <font>
      <sz val="10"/>
      <color rgb="FF548235"/>
      <name val="Calibri"/>
      <family val="2"/>
      <scheme val="minor"/>
    </font>
    <font>
      <b/>
      <u/>
      <sz val="14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3DEF8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ck">
        <color rgb="FF548235"/>
      </left>
      <right/>
      <top style="thick">
        <color rgb="FF548235"/>
      </top>
      <bottom style="thick">
        <color rgb="FF548235"/>
      </bottom>
      <diagonal/>
    </border>
    <border>
      <left/>
      <right/>
      <top style="thick">
        <color rgb="FF548235"/>
      </top>
      <bottom style="thick">
        <color rgb="FF548235"/>
      </bottom>
      <diagonal/>
    </border>
    <border>
      <left/>
      <right style="thick">
        <color rgb="FF548235"/>
      </right>
      <top style="thick">
        <color rgb="FF548235"/>
      </top>
      <bottom style="thick">
        <color rgb="FF548235"/>
      </bottom>
      <diagonal/>
    </border>
    <border>
      <left style="thick">
        <color rgb="FF548235"/>
      </left>
      <right style="thin">
        <color rgb="FF548235"/>
      </right>
      <top/>
      <bottom/>
      <diagonal/>
    </border>
    <border>
      <left style="thin">
        <color rgb="FF548235"/>
      </left>
      <right style="thin">
        <color rgb="FF548235"/>
      </right>
      <top/>
      <bottom/>
      <diagonal/>
    </border>
    <border>
      <left style="thin">
        <color rgb="FF548235"/>
      </left>
      <right style="thick">
        <color rgb="FF548235"/>
      </right>
      <top/>
      <bottom/>
      <diagonal/>
    </border>
    <border>
      <left style="thick">
        <color rgb="FF548235"/>
      </left>
      <right style="thin">
        <color rgb="FF548235"/>
      </right>
      <top style="thin">
        <color rgb="FF548235"/>
      </top>
      <bottom style="thick">
        <color rgb="FF548235"/>
      </bottom>
      <diagonal/>
    </border>
    <border>
      <left style="thin">
        <color rgb="FF548235"/>
      </left>
      <right style="thin">
        <color rgb="FF548235"/>
      </right>
      <top style="thin">
        <color rgb="FF548235"/>
      </top>
      <bottom style="thick">
        <color rgb="FF548235"/>
      </bottom>
      <diagonal/>
    </border>
    <border>
      <left style="thin">
        <color rgb="FF548235"/>
      </left>
      <right style="thick">
        <color rgb="FF548235"/>
      </right>
      <top style="thin">
        <color rgb="FF548235"/>
      </top>
      <bottom style="thick">
        <color rgb="FF548235"/>
      </bottom>
      <diagonal/>
    </border>
    <border>
      <left style="thick">
        <color rgb="FF548235"/>
      </left>
      <right style="thin">
        <color rgb="FF548235"/>
      </right>
      <top style="thick">
        <color rgb="FF548235"/>
      </top>
      <bottom style="thick">
        <color rgb="FF548235"/>
      </bottom>
      <diagonal/>
    </border>
    <border>
      <left style="thin">
        <color rgb="FF548235"/>
      </left>
      <right style="thin">
        <color rgb="FF548235"/>
      </right>
      <top style="thick">
        <color rgb="FF548235"/>
      </top>
      <bottom style="thick">
        <color rgb="FF548235"/>
      </bottom>
      <diagonal/>
    </border>
    <border>
      <left style="thin">
        <color rgb="FF548235"/>
      </left>
      <right style="thick">
        <color rgb="FF548235"/>
      </right>
      <top style="thick">
        <color rgb="FF548235"/>
      </top>
      <bottom style="thick">
        <color rgb="FF548235"/>
      </bottom>
      <diagonal/>
    </border>
    <border>
      <left style="medium">
        <color rgb="FFFABF8F"/>
      </left>
      <right style="medium">
        <color rgb="FFFABF8F"/>
      </right>
      <top style="medium">
        <color rgb="FFFABF8F"/>
      </top>
      <bottom style="medium">
        <color rgb="FFFABF8F"/>
      </bottom>
      <diagonal/>
    </border>
    <border>
      <left style="medium">
        <color rgb="FF76933C"/>
      </left>
      <right style="medium">
        <color rgb="FF76933C"/>
      </right>
      <top style="medium">
        <color rgb="FF76933C"/>
      </top>
      <bottom style="medium">
        <color rgb="FF76933C"/>
      </bottom>
      <diagonal/>
    </border>
    <border>
      <left style="medium">
        <color rgb="FF482CBC"/>
      </left>
      <right style="medium">
        <color rgb="FF482CBC"/>
      </right>
      <top style="medium">
        <color rgb="FF482CBC"/>
      </top>
      <bottom style="medium">
        <color rgb="FF482CBC"/>
      </bottom>
      <diagonal/>
    </border>
    <border>
      <left style="thick">
        <color rgb="FF548235"/>
      </left>
      <right style="thin">
        <color rgb="FF548235"/>
      </right>
      <top style="thin">
        <color rgb="FF548235"/>
      </top>
      <bottom style="thin">
        <color rgb="FF548235"/>
      </bottom>
      <diagonal/>
    </border>
    <border>
      <left style="thin">
        <color rgb="FF548235"/>
      </left>
      <right style="thin">
        <color rgb="FF548235"/>
      </right>
      <top style="thin">
        <color rgb="FF548235"/>
      </top>
      <bottom style="thin">
        <color rgb="FF548235"/>
      </bottom>
      <diagonal/>
    </border>
    <border>
      <left style="thin">
        <color rgb="FF548235"/>
      </left>
      <right style="thick">
        <color rgb="FF548235"/>
      </right>
      <top style="thin">
        <color rgb="FF548235"/>
      </top>
      <bottom style="thin">
        <color rgb="FF548235"/>
      </bottom>
      <diagonal/>
    </border>
  </borders>
  <cellStyleXfs count="3">
    <xf numFmtId="0" fontId="0" fillId="0" borderId="0"/>
    <xf numFmtId="9" fontId="10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71">
    <xf numFmtId="0" fontId="0" fillId="0" borderId="0" xfId="0"/>
    <xf numFmtId="0" fontId="3" fillId="0" borderId="0" xfId="0" applyFont="1" applyAlignment="1">
      <alignment horizontal="right"/>
    </xf>
    <xf numFmtId="0" fontId="8" fillId="0" borderId="0" xfId="0" applyFont="1"/>
    <xf numFmtId="0" fontId="9" fillId="0" borderId="0" xfId="0" applyFont="1"/>
    <xf numFmtId="0" fontId="12" fillId="0" borderId="0" xfId="0" applyFont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6" fillId="0" borderId="0" xfId="0" quotePrefix="1" applyFont="1"/>
    <xf numFmtId="0" fontId="4" fillId="0" borderId="0" xfId="0" quotePrefix="1" applyFont="1"/>
    <xf numFmtId="0" fontId="11" fillId="0" borderId="0" xfId="0" applyFont="1"/>
    <xf numFmtId="1" fontId="5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166" fontId="11" fillId="0" borderId="0" xfId="0" applyNumberFormat="1" applyFont="1"/>
    <xf numFmtId="166" fontId="12" fillId="0" borderId="0" xfId="0" applyNumberFormat="1" applyFont="1" applyAlignment="1">
      <alignment horizontal="center"/>
    </xf>
    <xf numFmtId="0" fontId="15" fillId="0" borderId="0" xfId="0" applyFont="1"/>
    <xf numFmtId="0" fontId="16" fillId="0" borderId="0" xfId="2"/>
    <xf numFmtId="0" fontId="17" fillId="0" borderId="0" xfId="0" applyFont="1"/>
    <xf numFmtId="0" fontId="13" fillId="0" borderId="0" xfId="0" applyFont="1"/>
    <xf numFmtId="0" fontId="0" fillId="2" borderId="13" xfId="0" applyFill="1" applyBorder="1" applyAlignment="1">
      <alignment horizontal="center"/>
    </xf>
    <xf numFmtId="0" fontId="13" fillId="0" borderId="0" xfId="0" quotePrefix="1" applyFont="1"/>
    <xf numFmtId="0" fontId="0" fillId="3" borderId="14" xfId="0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18" fillId="0" borderId="0" xfId="0" applyFont="1"/>
    <xf numFmtId="0" fontId="13" fillId="0" borderId="0" xfId="0" applyFont="1" applyAlignment="1">
      <alignment horizontal="center"/>
    </xf>
    <xf numFmtId="165" fontId="0" fillId="2" borderId="13" xfId="0" applyNumberFormat="1" applyFill="1" applyBorder="1" applyAlignment="1">
      <alignment horizontal="center"/>
    </xf>
    <xf numFmtId="164" fontId="17" fillId="0" borderId="0" xfId="0" applyNumberFormat="1" applyFont="1"/>
    <xf numFmtId="164" fontId="1" fillId="0" borderId="0" xfId="0" applyNumberFormat="1" applyFont="1"/>
    <xf numFmtId="1" fontId="0" fillId="4" borderId="15" xfId="0" applyNumberFormat="1" applyFill="1" applyBorder="1" applyAlignment="1">
      <alignment horizontal="center"/>
    </xf>
    <xf numFmtId="2" fontId="0" fillId="2" borderId="13" xfId="0" applyNumberFormat="1" applyFill="1" applyBorder="1" applyAlignment="1">
      <alignment horizontal="center"/>
    </xf>
    <xf numFmtId="0" fontId="19" fillId="0" borderId="0" xfId="0" quotePrefix="1" applyFont="1"/>
    <xf numFmtId="0" fontId="17" fillId="5" borderId="0" xfId="0" applyFont="1" applyFill="1"/>
    <xf numFmtId="0" fontId="0" fillId="5" borderId="0" xfId="0" applyFill="1"/>
    <xf numFmtId="0" fontId="13" fillId="5" borderId="0" xfId="0" applyFont="1" applyFill="1"/>
    <xf numFmtId="0" fontId="18" fillId="5" borderId="0" xfId="0" applyFont="1" applyFill="1"/>
    <xf numFmtId="0" fontId="12" fillId="5" borderId="0" xfId="0" applyFont="1" applyFill="1" applyAlignment="1">
      <alignment horizontal="center"/>
    </xf>
    <xf numFmtId="164" fontId="0" fillId="5" borderId="14" xfId="0" applyNumberFormat="1" applyFill="1" applyBorder="1" applyAlignment="1">
      <alignment horizontal="center"/>
    </xf>
    <xf numFmtId="0" fontId="14" fillId="0" borderId="0" xfId="0" applyFont="1"/>
    <xf numFmtId="167" fontId="0" fillId="4" borderId="15" xfId="0" applyNumberFormat="1" applyFill="1" applyBorder="1" applyAlignment="1">
      <alignment horizontal="center"/>
    </xf>
    <xf numFmtId="0" fontId="20" fillId="0" borderId="0" xfId="0" applyFont="1"/>
    <xf numFmtId="168" fontId="0" fillId="5" borderId="14" xfId="0" applyNumberFormat="1" applyFill="1" applyBorder="1" applyAlignment="1">
      <alignment horizontal="center"/>
    </xf>
    <xf numFmtId="167" fontId="0" fillId="3" borderId="14" xfId="0" applyNumberFormat="1" applyFill="1" applyBorder="1" applyAlignment="1">
      <alignment horizontal="center"/>
    </xf>
    <xf numFmtId="0" fontId="0" fillId="5" borderId="0" xfId="0" applyFill="1" applyAlignment="1">
      <alignment horizontal="left"/>
    </xf>
    <xf numFmtId="0" fontId="11" fillId="5" borderId="0" xfId="0" applyFont="1" applyFill="1" applyAlignment="1">
      <alignment horizontal="left"/>
    </xf>
    <xf numFmtId="0" fontId="13" fillId="0" borderId="0" xfId="0" applyFont="1" applyAlignment="1">
      <alignment horizontal="left"/>
    </xf>
    <xf numFmtId="0" fontId="21" fillId="0" borderId="0" xfId="0" applyFont="1"/>
    <xf numFmtId="167" fontId="0" fillId="5" borderId="14" xfId="0" applyNumberFormat="1" applyFill="1" applyBorder="1" applyAlignment="1">
      <alignment horizontal="center"/>
    </xf>
    <xf numFmtId="0" fontId="22" fillId="0" borderId="0" xfId="0" applyFont="1"/>
    <xf numFmtId="0" fontId="23" fillId="0" borderId="10" xfId="0" applyFont="1" applyBorder="1" applyAlignment="1">
      <alignment horizontal="center"/>
    </xf>
    <xf numFmtId="0" fontId="23" fillId="0" borderId="11" xfId="0" applyFont="1" applyBorder="1" applyAlignment="1">
      <alignment horizontal="center"/>
    </xf>
    <xf numFmtId="0" fontId="23" fillId="0" borderId="12" xfId="0" applyFont="1" applyBorder="1" applyAlignment="1">
      <alignment horizontal="center"/>
    </xf>
    <xf numFmtId="0" fontId="24" fillId="0" borderId="4" xfId="0" applyFont="1" applyBorder="1" applyAlignment="1">
      <alignment horizontal="center"/>
    </xf>
    <xf numFmtId="164" fontId="25" fillId="0" borderId="5" xfId="0" applyNumberFormat="1" applyFont="1" applyBorder="1" applyAlignment="1">
      <alignment horizontal="center"/>
    </xf>
    <xf numFmtId="164" fontId="26" fillId="0" borderId="5" xfId="0" applyNumberFormat="1" applyFont="1" applyBorder="1" applyAlignment="1">
      <alignment horizontal="center"/>
    </xf>
    <xf numFmtId="10" fontId="26" fillId="0" borderId="6" xfId="1" applyNumberFormat="1" applyFont="1" applyBorder="1" applyAlignment="1">
      <alignment horizontal="center"/>
    </xf>
    <xf numFmtId="0" fontId="24" fillId="0" borderId="16" xfId="0" applyFont="1" applyBorder="1" applyAlignment="1">
      <alignment horizontal="center"/>
    </xf>
    <xf numFmtId="164" fontId="25" fillId="0" borderId="17" xfId="0" applyNumberFormat="1" applyFont="1" applyBorder="1" applyAlignment="1">
      <alignment horizontal="center"/>
    </xf>
    <xf numFmtId="164" fontId="26" fillId="0" borderId="17" xfId="0" applyNumberFormat="1" applyFont="1" applyBorder="1" applyAlignment="1">
      <alignment horizontal="center"/>
    </xf>
    <xf numFmtId="10" fontId="26" fillId="0" borderId="18" xfId="1" applyNumberFormat="1" applyFont="1" applyBorder="1" applyAlignment="1">
      <alignment horizontal="center"/>
    </xf>
    <xf numFmtId="0" fontId="24" fillId="0" borderId="7" xfId="0" applyFont="1" applyBorder="1" applyAlignment="1">
      <alignment horizontal="center"/>
    </xf>
    <xf numFmtId="164" fontId="25" fillId="0" borderId="8" xfId="0" applyNumberFormat="1" applyFont="1" applyBorder="1" applyAlignment="1">
      <alignment horizontal="center"/>
    </xf>
    <xf numFmtId="164" fontId="26" fillId="0" borderId="8" xfId="0" applyNumberFormat="1" applyFont="1" applyBorder="1" applyAlignment="1">
      <alignment horizontal="center"/>
    </xf>
    <xf numFmtId="10" fontId="26" fillId="0" borderId="9" xfId="1" applyNumberFormat="1" applyFont="1" applyBorder="1" applyAlignment="1">
      <alignment horizontal="center"/>
    </xf>
    <xf numFmtId="0" fontId="19" fillId="0" borderId="0" xfId="0" applyFont="1"/>
    <xf numFmtId="11" fontId="0" fillId="2" borderId="13" xfId="0" applyNumberFormat="1" applyFill="1" applyBorder="1" applyAlignment="1">
      <alignment horizontal="center"/>
    </xf>
    <xf numFmtId="0" fontId="27" fillId="0" borderId="0" xfId="2" applyFont="1"/>
    <xf numFmtId="0" fontId="28" fillId="0" borderId="0" xfId="0" applyFont="1"/>
    <xf numFmtId="0" fontId="29" fillId="0" borderId="0" xfId="0" applyFont="1"/>
    <xf numFmtId="0" fontId="23" fillId="0" borderId="1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23" fillId="0" borderId="3" xfId="0" applyFont="1" applyBorder="1" applyAlignment="1">
      <alignment horizontal="center"/>
    </xf>
    <xf numFmtId="0" fontId="0" fillId="0" borderId="0" xfId="0" applyAlignment="1">
      <alignment horizontal="center"/>
    </xf>
  </cellXfs>
  <cellStyles count="3">
    <cellStyle name="Lien hypertexte" xfId="2" builtinId="8"/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1464F4"/>
      <color rgb="FFF040D7"/>
      <color rgb="FF548235"/>
      <color rgb="FFED7D3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emf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15</xdr:row>
      <xdr:rowOff>19050</xdr:rowOff>
    </xdr:from>
    <xdr:to>
      <xdr:col>8</xdr:col>
      <xdr:colOff>314325</xdr:colOff>
      <xdr:row>35</xdr:row>
      <xdr:rowOff>148079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5090"/>
        <a:stretch/>
      </xdr:blipFill>
      <xdr:spPr bwMode="auto">
        <a:xfrm>
          <a:off x="762000" y="1514475"/>
          <a:ext cx="4124325" cy="3945432"/>
        </a:xfrm>
        <a:prstGeom prst="rect">
          <a:avLst/>
        </a:prstGeom>
        <a:noFill/>
        <a:ln>
          <a:solidFill>
            <a:schemeClr val="accent5"/>
          </a:solidFill>
        </a:ln>
        <a:effectLst>
          <a:glow rad="127000">
            <a:schemeClr val="accent5">
              <a:alpha val="40000"/>
            </a:schemeClr>
          </a:glo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4</xdr:col>
      <xdr:colOff>298779</xdr:colOff>
      <xdr:row>3</xdr:row>
      <xdr:rowOff>22702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38C68AB1-54B5-4FA3-AC3D-56DD50AE8F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190500"/>
          <a:ext cx="1441779" cy="566988"/>
        </a:xfrm>
        <a:prstGeom prst="rect">
          <a:avLst/>
        </a:prstGeom>
      </xdr:spPr>
    </xdr:pic>
    <xdr:clientData/>
  </xdr:twoCellAnchor>
  <xdr:twoCellAnchor editAs="oneCell">
    <xdr:from>
      <xdr:col>19</xdr:col>
      <xdr:colOff>8805</xdr:colOff>
      <xdr:row>106</xdr:row>
      <xdr:rowOff>14088</xdr:rowOff>
    </xdr:from>
    <xdr:to>
      <xdr:col>26</xdr:col>
      <xdr:colOff>104813</xdr:colOff>
      <xdr:row>135</xdr:row>
      <xdr:rowOff>72595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8CF5E25-91D1-4E4E-A76E-B1FC09A87C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819805" y="20911938"/>
          <a:ext cx="5430008" cy="5706832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13607</xdr:colOff>
      <xdr:row>11</xdr:row>
      <xdr:rowOff>113607</xdr:rowOff>
    </xdr:from>
    <xdr:to>
      <xdr:col>24</xdr:col>
      <xdr:colOff>22655</xdr:colOff>
      <xdr:row>14</xdr:row>
      <xdr:rowOff>42774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4DBFC33-8009-4D4F-BC1D-BCF7E13F8E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1824607" y="2454036"/>
          <a:ext cx="3819048" cy="60952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23</xdr:col>
      <xdr:colOff>9143</xdr:colOff>
      <xdr:row>23</xdr:row>
      <xdr:rowOff>38024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CEDCA9D1-B088-4C6F-809F-1A7F0B0329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1811000" y="4235824"/>
          <a:ext cx="3057143" cy="60952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26</xdr:col>
      <xdr:colOff>8857</xdr:colOff>
      <xdr:row>37</xdr:row>
      <xdr:rowOff>104605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34D18ECF-FC4C-4610-877B-156E9BEA1D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1811000" y="5569324"/>
          <a:ext cx="5342857" cy="2000000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18768</xdr:colOff>
      <xdr:row>45</xdr:row>
      <xdr:rowOff>27214</xdr:rowOff>
    </xdr:from>
    <xdr:to>
      <xdr:col>28</xdr:col>
      <xdr:colOff>724517</xdr:colOff>
      <xdr:row>54</xdr:row>
      <xdr:rowOff>131844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72F1A70C-9A89-48ED-A04B-97841D7348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1829768" y="8926285"/>
          <a:ext cx="7563749" cy="1819130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23129</xdr:colOff>
      <xdr:row>58</xdr:row>
      <xdr:rowOff>13607</xdr:rowOff>
    </xdr:from>
    <xdr:to>
      <xdr:col>27</xdr:col>
      <xdr:colOff>39991</xdr:colOff>
      <xdr:row>67</xdr:row>
      <xdr:rowOff>2175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BE156AE7-39AA-485B-AACA-F18D238BDC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1834129" y="11688536"/>
          <a:ext cx="6112862" cy="1811925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26</xdr:col>
      <xdr:colOff>323143</xdr:colOff>
      <xdr:row>81</xdr:row>
      <xdr:rowOff>66524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B950B22A-82B8-420F-B251-A7BDC120C5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1811000" y="14981464"/>
          <a:ext cx="5657143" cy="120952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26</xdr:col>
      <xdr:colOff>323143</xdr:colOff>
      <xdr:row>87</xdr:row>
      <xdr:rowOff>28524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FE75CD53-1D71-4BB6-9FC5-EEF7DA62BC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1811000" y="16913679"/>
          <a:ext cx="5657143" cy="40952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4</xdr:col>
      <xdr:colOff>12071</xdr:colOff>
      <xdr:row>99</xdr:row>
      <xdr:rowOff>122464</xdr:rowOff>
    </xdr:from>
    <xdr:to>
      <xdr:col>10</xdr:col>
      <xdr:colOff>239043</xdr:colOff>
      <xdr:row>105</xdr:row>
      <xdr:rowOff>163286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81B9E19C-E01E-4346-9A6E-CA52B1ED9C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917071" y="17975035"/>
          <a:ext cx="4417972" cy="1183822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26</xdr:col>
      <xdr:colOff>181745</xdr:colOff>
      <xdr:row>158</xdr:row>
      <xdr:rowOff>48137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8B44FDC7-F731-4C42-85FB-066198B127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1811000" y="27308175"/>
          <a:ext cx="5515745" cy="3667637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24</xdr:col>
      <xdr:colOff>323333</xdr:colOff>
      <xdr:row>171</xdr:row>
      <xdr:rowOff>85500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404C9D43-B9C0-4D9F-9B95-5547EC1457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1811000" y="31689675"/>
          <a:ext cx="4133333" cy="1800000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4</xdr:col>
      <xdr:colOff>13607</xdr:colOff>
      <xdr:row>111</xdr:row>
      <xdr:rowOff>54430</xdr:rowOff>
    </xdr:from>
    <xdr:to>
      <xdr:col>8</xdr:col>
      <xdr:colOff>395807</xdr:colOff>
      <xdr:row>113</xdr:row>
      <xdr:rowOff>102980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22C144DA-3221-43B9-9E15-2A06766D7D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1918607" y="20247430"/>
          <a:ext cx="3049200" cy="429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201706</xdr:colOff>
      <xdr:row>3</xdr:row>
      <xdr:rowOff>22412</xdr:rowOff>
    </xdr:from>
    <xdr:to>
      <xdr:col>15</xdr:col>
      <xdr:colOff>91943</xdr:colOff>
      <xdr:row>27</xdr:row>
      <xdr:rowOff>140580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5055A67B-60B8-45CD-B565-D82B5FCAB6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59706" y="750794"/>
          <a:ext cx="4047619" cy="4914286"/>
        </a:xfrm>
        <a:prstGeom prst="rect">
          <a:avLst/>
        </a:prstGeom>
        <a:ln>
          <a:solidFill>
            <a:schemeClr val="accent5"/>
          </a:solidFill>
        </a:ln>
        <a:effectLst>
          <a:glow rad="127000">
            <a:srgbClr val="1464F4">
              <a:alpha val="40000"/>
            </a:srgbClr>
          </a:glow>
        </a:effec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2</xdr:col>
      <xdr:colOff>679779</xdr:colOff>
      <xdr:row>3</xdr:row>
      <xdr:rowOff>22702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824A9562-2C29-45FE-A49B-94DBD181AA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190500"/>
          <a:ext cx="1441779" cy="5605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>
        <a:ln w="63500"/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hydraucalc.com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hydraucalc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DC13A-3BF4-4F04-9A98-FED67E963E05}">
  <sheetPr codeName="Feuil1"/>
  <dimension ref="B2:AD161"/>
  <sheetViews>
    <sheetView zoomScale="70" zoomScaleNormal="70" workbookViewId="0"/>
  </sheetViews>
  <sheetFormatPr baseColWidth="10" defaultColWidth="11.42578125" defaultRowHeight="15" x14ac:dyDescent="0.25"/>
  <cols>
    <col min="2" max="5" width="5.7109375" customWidth="1"/>
    <col min="17" max="19" width="5.7109375" customWidth="1"/>
  </cols>
  <sheetData>
    <row r="2" spans="2:26" s="2" customFormat="1" ht="21" x14ac:dyDescent="0.35">
      <c r="C2" s="3"/>
      <c r="G2" s="14" t="s">
        <v>17</v>
      </c>
    </row>
    <row r="3" spans="2:26" ht="21" x14ac:dyDescent="0.35">
      <c r="G3" s="14" t="s">
        <v>200</v>
      </c>
    </row>
    <row r="4" spans="2:26" x14ac:dyDescent="0.25">
      <c r="B4" s="62" t="s">
        <v>191</v>
      </c>
      <c r="P4" s="5"/>
      <c r="Q4" s="5"/>
      <c r="R4" s="6"/>
      <c r="S4" s="6"/>
      <c r="T4" s="6"/>
      <c r="U4" s="6"/>
      <c r="V4" s="6"/>
      <c r="W4" s="6"/>
      <c r="X4" s="10"/>
      <c r="Z4" s="7"/>
    </row>
    <row r="5" spans="2:26" x14ac:dyDescent="0.25">
      <c r="B5" s="15" t="s">
        <v>82</v>
      </c>
      <c r="G5" s="36" t="s">
        <v>104</v>
      </c>
    </row>
    <row r="7" spans="2:26" ht="18.75" x14ac:dyDescent="0.3">
      <c r="B7" s="64" t="s">
        <v>212</v>
      </c>
      <c r="F7" s="65" t="s">
        <v>202</v>
      </c>
      <c r="Q7" s="44" t="s">
        <v>155</v>
      </c>
    </row>
    <row r="8" spans="2:26" ht="19.5" thickBot="1" x14ac:dyDescent="0.35">
      <c r="B8" s="15"/>
      <c r="G8" s="65" t="s">
        <v>201</v>
      </c>
    </row>
    <row r="9" spans="2:26" ht="15" customHeight="1" thickBot="1" x14ac:dyDescent="0.35">
      <c r="B9" s="15"/>
      <c r="F9" s="65"/>
      <c r="R9" s="46" t="s">
        <v>156</v>
      </c>
      <c r="Y9" s="18"/>
    </row>
    <row r="10" spans="2:26" ht="18.75" x14ac:dyDescent="0.3">
      <c r="B10" s="15"/>
      <c r="F10" s="66" t="s">
        <v>213</v>
      </c>
    </row>
    <row r="11" spans="2:26" ht="18.75" x14ac:dyDescent="0.3">
      <c r="B11" s="15"/>
      <c r="F11" s="66" t="s">
        <v>214</v>
      </c>
      <c r="S11" s="36" t="s">
        <v>157</v>
      </c>
    </row>
    <row r="12" spans="2:26" ht="18.75" x14ac:dyDescent="0.3">
      <c r="B12" s="15"/>
      <c r="F12" s="16"/>
      <c r="G12" s="65" t="s">
        <v>215</v>
      </c>
    </row>
    <row r="13" spans="2:26" ht="18.75" x14ac:dyDescent="0.3">
      <c r="B13" s="15"/>
      <c r="F13" s="65"/>
    </row>
    <row r="17" spans="19:26" x14ac:dyDescent="0.25">
      <c r="T17" t="s">
        <v>158</v>
      </c>
    </row>
    <row r="19" spans="19:26" x14ac:dyDescent="0.25">
      <c r="S19" s="36" t="s">
        <v>159</v>
      </c>
    </row>
    <row r="26" spans="19:26" x14ac:dyDescent="0.25">
      <c r="S26" s="36" t="s">
        <v>160</v>
      </c>
    </row>
    <row r="31" spans="19:26" x14ac:dyDescent="0.25">
      <c r="Z31" s="38"/>
    </row>
    <row r="39" spans="2:30" ht="18.75" x14ac:dyDescent="0.3">
      <c r="B39" s="44" t="s">
        <v>121</v>
      </c>
    </row>
    <row r="40" spans="2:30" ht="15.75" thickBot="1" x14ac:dyDescent="0.3"/>
    <row r="41" spans="2:30" ht="16.5" thickBot="1" x14ac:dyDescent="0.3">
      <c r="C41" t="s">
        <v>131</v>
      </c>
      <c r="R41" s="46" t="s">
        <v>161</v>
      </c>
      <c r="AD41" s="21"/>
    </row>
    <row r="42" spans="2:30" x14ac:dyDescent="0.25">
      <c r="D42" t="s">
        <v>132</v>
      </c>
      <c r="S42" t="s">
        <v>162</v>
      </c>
    </row>
    <row r="44" spans="2:30" x14ac:dyDescent="0.25">
      <c r="C44" t="s">
        <v>133</v>
      </c>
      <c r="S44" s="36" t="s">
        <v>163</v>
      </c>
    </row>
    <row r="46" spans="2:30" x14ac:dyDescent="0.25">
      <c r="C46" t="s">
        <v>134</v>
      </c>
    </row>
    <row r="47" spans="2:30" x14ac:dyDescent="0.25">
      <c r="D47" t="s">
        <v>135</v>
      </c>
    </row>
    <row r="48" spans="2:30" x14ac:dyDescent="0.25">
      <c r="D48" t="s">
        <v>136</v>
      </c>
    </row>
    <row r="50" spans="2:19" x14ac:dyDescent="0.25">
      <c r="C50" t="s">
        <v>137</v>
      </c>
    </row>
    <row r="51" spans="2:19" x14ac:dyDescent="0.25">
      <c r="D51" t="s">
        <v>138</v>
      </c>
    </row>
    <row r="52" spans="2:19" x14ac:dyDescent="0.25">
      <c r="D52" t="s">
        <v>139</v>
      </c>
    </row>
    <row r="53" spans="2:19" x14ac:dyDescent="0.25">
      <c r="D53" t="s">
        <v>140</v>
      </c>
    </row>
    <row r="55" spans="2:19" x14ac:dyDescent="0.25">
      <c r="C55" t="s">
        <v>153</v>
      </c>
    </row>
    <row r="56" spans="2:19" x14ac:dyDescent="0.25">
      <c r="D56" t="s">
        <v>154</v>
      </c>
    </row>
    <row r="57" spans="2:19" x14ac:dyDescent="0.25">
      <c r="S57" s="36" t="s">
        <v>164</v>
      </c>
    </row>
    <row r="59" spans="2:19" ht="18.75" x14ac:dyDescent="0.3">
      <c r="B59" s="44" t="s">
        <v>123</v>
      </c>
    </row>
    <row r="61" spans="2:19" x14ac:dyDescent="0.25">
      <c r="C61" t="s">
        <v>124</v>
      </c>
    </row>
    <row r="62" spans="2:19" x14ac:dyDescent="0.25">
      <c r="C62" t="s">
        <v>125</v>
      </c>
    </row>
    <row r="63" spans="2:19" x14ac:dyDescent="0.25">
      <c r="C63" t="s">
        <v>126</v>
      </c>
    </row>
    <row r="64" spans="2:19" x14ac:dyDescent="0.25">
      <c r="C64" t="s">
        <v>141</v>
      </c>
    </row>
    <row r="66" spans="2:30" x14ac:dyDescent="0.25">
      <c r="AD66" s="38"/>
    </row>
    <row r="67" spans="2:30" ht="18.75" x14ac:dyDescent="0.3">
      <c r="B67" s="44" t="s">
        <v>122</v>
      </c>
    </row>
    <row r="68" spans="2:30" x14ac:dyDescent="0.25">
      <c r="B68" s="8"/>
    </row>
    <row r="69" spans="2:30" x14ac:dyDescent="0.25">
      <c r="C69" t="s">
        <v>149</v>
      </c>
    </row>
    <row r="70" spans="2:30" ht="15.75" thickBot="1" x14ac:dyDescent="0.3"/>
    <row r="71" spans="2:30" ht="16.5" thickBot="1" x14ac:dyDescent="0.3">
      <c r="C71" t="s">
        <v>145</v>
      </c>
      <c r="R71" s="46" t="s">
        <v>165</v>
      </c>
      <c r="AC71" s="20"/>
    </row>
    <row r="72" spans="2:30" x14ac:dyDescent="0.25">
      <c r="D72" t="s">
        <v>146</v>
      </c>
      <c r="S72" t="s">
        <v>162</v>
      </c>
    </row>
    <row r="73" spans="2:30" x14ac:dyDescent="0.25">
      <c r="D73" t="s">
        <v>75</v>
      </c>
    </row>
    <row r="74" spans="2:30" x14ac:dyDescent="0.25">
      <c r="D74" t="s">
        <v>76</v>
      </c>
      <c r="S74" s="36" t="s">
        <v>74</v>
      </c>
    </row>
    <row r="75" spans="2:30" x14ac:dyDescent="0.25">
      <c r="D75" t="s">
        <v>144</v>
      </c>
    </row>
    <row r="76" spans="2:30" x14ac:dyDescent="0.25">
      <c r="D76" t="s">
        <v>77</v>
      </c>
    </row>
    <row r="77" spans="2:30" x14ac:dyDescent="0.25">
      <c r="B77" s="23"/>
      <c r="D77" t="s">
        <v>78</v>
      </c>
    </row>
    <row r="79" spans="2:30" x14ac:dyDescent="0.25">
      <c r="C79" t="s">
        <v>127</v>
      </c>
    </row>
    <row r="80" spans="2:30" x14ac:dyDescent="0.25">
      <c r="D80" t="s">
        <v>129</v>
      </c>
    </row>
    <row r="81" spans="2:23" x14ac:dyDescent="0.25">
      <c r="D81" t="s">
        <v>128</v>
      </c>
    </row>
    <row r="82" spans="2:23" x14ac:dyDescent="0.25">
      <c r="D82" t="s">
        <v>130</v>
      </c>
    </row>
    <row r="84" spans="2:23" x14ac:dyDescent="0.25">
      <c r="C84" t="s">
        <v>151</v>
      </c>
      <c r="S84" s="36" t="s">
        <v>166</v>
      </c>
    </row>
    <row r="85" spans="2:23" x14ac:dyDescent="0.25">
      <c r="D85" t="s">
        <v>150</v>
      </c>
    </row>
    <row r="87" spans="2:23" x14ac:dyDescent="0.25">
      <c r="C87" t="s">
        <v>147</v>
      </c>
    </row>
    <row r="88" spans="2:23" x14ac:dyDescent="0.25">
      <c r="D88" t="s">
        <v>148</v>
      </c>
    </row>
    <row r="90" spans="2:23" x14ac:dyDescent="0.25">
      <c r="C90" t="s">
        <v>152</v>
      </c>
      <c r="R90" s="36" t="s">
        <v>167</v>
      </c>
    </row>
    <row r="92" spans="2:23" x14ac:dyDescent="0.25">
      <c r="S92" t="s">
        <v>187</v>
      </c>
    </row>
    <row r="93" spans="2:23" ht="18.75" x14ac:dyDescent="0.3">
      <c r="B93" s="44" t="s">
        <v>168</v>
      </c>
    </row>
    <row r="94" spans="2:23" x14ac:dyDescent="0.25">
      <c r="S94" t="s">
        <v>181</v>
      </c>
    </row>
    <row r="95" spans="2:23" ht="15.75" thickBot="1" x14ac:dyDescent="0.3">
      <c r="C95" t="s">
        <v>169</v>
      </c>
    </row>
    <row r="96" spans="2:23" ht="15.75" thickBot="1" x14ac:dyDescent="0.3">
      <c r="D96" t="s">
        <v>170</v>
      </c>
      <c r="T96" s="34" t="s">
        <v>58</v>
      </c>
      <c r="U96" s="39">
        <v>0.05</v>
      </c>
      <c r="V96" s="39">
        <v>0.01</v>
      </c>
      <c r="W96" s="39">
        <v>5.0000000000000001E-3</v>
      </c>
    </row>
    <row r="97" spans="3:23" ht="15.75" thickBot="1" x14ac:dyDescent="0.3">
      <c r="D97" t="s">
        <v>171</v>
      </c>
      <c r="T97" s="34" t="s">
        <v>59</v>
      </c>
      <c r="U97" s="39">
        <f t="shared" ref="U97:W98" si="0">U96/2</f>
        <v>2.5000000000000001E-2</v>
      </c>
      <c r="V97" s="39">
        <f t="shared" si="0"/>
        <v>5.0000000000000001E-3</v>
      </c>
      <c r="W97" s="39">
        <f t="shared" si="0"/>
        <v>2.5000000000000001E-3</v>
      </c>
    </row>
    <row r="98" spans="3:23" ht="15.75" thickBot="1" x14ac:dyDescent="0.3">
      <c r="D98" t="s">
        <v>172</v>
      </c>
      <c r="T98" s="34" t="s">
        <v>63</v>
      </c>
      <c r="U98" s="39">
        <f t="shared" si="0"/>
        <v>1.2500000000000001E-2</v>
      </c>
      <c r="V98" s="39">
        <f t="shared" si="0"/>
        <v>2.5000000000000001E-3</v>
      </c>
      <c r="W98" s="39">
        <f t="shared" si="0"/>
        <v>1.25E-3</v>
      </c>
    </row>
    <row r="99" spans="3:23" x14ac:dyDescent="0.25">
      <c r="D99" t="s">
        <v>203</v>
      </c>
    </row>
    <row r="100" spans="3:23" x14ac:dyDescent="0.25">
      <c r="S100" t="s">
        <v>182</v>
      </c>
    </row>
    <row r="101" spans="3:23" x14ac:dyDescent="0.25">
      <c r="T101" t="s">
        <v>183</v>
      </c>
    </row>
    <row r="103" spans="3:23" x14ac:dyDescent="0.25">
      <c r="S103" t="s">
        <v>184</v>
      </c>
    </row>
    <row r="104" spans="3:23" x14ac:dyDescent="0.25">
      <c r="T104" t="s">
        <v>185</v>
      </c>
    </row>
    <row r="105" spans="3:23" x14ac:dyDescent="0.25">
      <c r="T105" t="s">
        <v>186</v>
      </c>
    </row>
    <row r="107" spans="3:23" x14ac:dyDescent="0.25">
      <c r="C107" t="s">
        <v>173</v>
      </c>
    </row>
    <row r="108" spans="3:23" x14ac:dyDescent="0.25">
      <c r="D108" t="s">
        <v>174</v>
      </c>
    </row>
    <row r="109" spans="3:23" x14ac:dyDescent="0.25">
      <c r="E109" t="s">
        <v>175</v>
      </c>
    </row>
    <row r="110" spans="3:23" x14ac:dyDescent="0.25">
      <c r="F110" t="s">
        <v>176</v>
      </c>
    </row>
    <row r="111" spans="3:23" x14ac:dyDescent="0.25">
      <c r="F111" t="s">
        <v>177</v>
      </c>
    </row>
    <row r="115" spans="2:9" x14ac:dyDescent="0.25">
      <c r="E115" t="s">
        <v>178</v>
      </c>
    </row>
    <row r="116" spans="2:9" x14ac:dyDescent="0.25">
      <c r="F116" t="s">
        <v>179</v>
      </c>
    </row>
    <row r="119" spans="2:9" ht="18.75" x14ac:dyDescent="0.3">
      <c r="B119" s="44" t="s">
        <v>180</v>
      </c>
    </row>
    <row r="120" spans="2:9" ht="15.75" thickBot="1" x14ac:dyDescent="0.3"/>
    <row r="121" spans="2:9" ht="16.5" thickTop="1" thickBot="1" x14ac:dyDescent="0.3">
      <c r="F121" s="67" t="s">
        <v>105</v>
      </c>
      <c r="G121" s="68"/>
      <c r="H121" s="68"/>
      <c r="I121" s="69"/>
    </row>
    <row r="122" spans="2:9" ht="16.5" thickTop="1" thickBot="1" x14ac:dyDescent="0.3">
      <c r="F122" s="47" t="s">
        <v>12</v>
      </c>
      <c r="G122" s="48" t="s">
        <v>15</v>
      </c>
      <c r="H122" s="48" t="s">
        <v>190</v>
      </c>
      <c r="I122" s="49" t="s">
        <v>14</v>
      </c>
    </row>
    <row r="123" spans="2:9" ht="15.75" thickTop="1" x14ac:dyDescent="0.25">
      <c r="F123" s="50" t="s">
        <v>58</v>
      </c>
      <c r="G123" s="51">
        <f>167*0.00006309</f>
        <v>1.0536029999999998E-2</v>
      </c>
      <c r="H123" s="52">
        <f>Q_pA</f>
        <v>1.0547793730044283E-2</v>
      </c>
      <c r="I123" s="53">
        <f>(G123-H123)/G123</f>
        <v>-1.1165239700613179E-3</v>
      </c>
    </row>
    <row r="124" spans="2:9" x14ac:dyDescent="0.25">
      <c r="F124" s="54" t="s">
        <v>59</v>
      </c>
      <c r="G124" s="55">
        <f>72*0.00006309</f>
        <v>4.5424799999999998E-3</v>
      </c>
      <c r="H124" s="56">
        <f>Q_pB</f>
        <v>4.5661946402464695E-3</v>
      </c>
      <c r="I124" s="57">
        <f t="shared" ref="I124:I130" si="1">(G124-H124)/G124</f>
        <v>-5.2206372392327007E-3</v>
      </c>
    </row>
    <row r="125" spans="2:9" x14ac:dyDescent="0.25">
      <c r="F125" s="54" t="s">
        <v>60</v>
      </c>
      <c r="G125" s="55">
        <f>167*0.00006309</f>
        <v>1.0536029999999998E-2</v>
      </c>
      <c r="H125" s="56">
        <f>Q_pC</f>
        <v>1.0547793730044283E-2</v>
      </c>
      <c r="I125" s="57">
        <f t="shared" si="1"/>
        <v>-1.1165239700613179E-3</v>
      </c>
    </row>
    <row r="126" spans="2:9" x14ac:dyDescent="0.25">
      <c r="F126" s="54" t="s">
        <v>61</v>
      </c>
      <c r="G126" s="55">
        <f>167*0.00006309</f>
        <v>1.0536029999999998E-2</v>
      </c>
      <c r="H126" s="56">
        <f>Q_pD</f>
        <v>1.0547793730044283E-2</v>
      </c>
      <c r="I126" s="57">
        <f t="shared" si="1"/>
        <v>-1.1165239700613179E-3</v>
      </c>
    </row>
    <row r="127" spans="2:9" x14ac:dyDescent="0.25">
      <c r="F127" s="54" t="s">
        <v>62</v>
      </c>
      <c r="G127" s="55">
        <f>95*0.00006309</f>
        <v>5.9935499999999994E-3</v>
      </c>
      <c r="H127" s="56">
        <f>Q_pE</f>
        <v>5.9815990897978139E-3</v>
      </c>
      <c r="I127" s="57">
        <f t="shared" si="1"/>
        <v>1.9939618760476644E-3</v>
      </c>
    </row>
    <row r="128" spans="2:9" x14ac:dyDescent="0.25">
      <c r="F128" s="54" t="s">
        <v>63</v>
      </c>
      <c r="G128" s="55">
        <f>24*0.00006309</f>
        <v>1.5141599999999999E-3</v>
      </c>
      <c r="H128" s="56">
        <f>Q_pF</f>
        <v>1.5134887483180459E-3</v>
      </c>
      <c r="I128" s="57">
        <f t="shared" si="1"/>
        <v>4.4331621622151684E-4</v>
      </c>
    </row>
    <row r="129" spans="6:19" x14ac:dyDescent="0.25">
      <c r="F129" s="54" t="s">
        <v>64</v>
      </c>
      <c r="G129" s="55">
        <f>71*0.00006309</f>
        <v>4.4793899999999998E-3</v>
      </c>
      <c r="H129" s="56">
        <f>Q_pG</f>
        <v>4.468110341479768E-3</v>
      </c>
      <c r="I129" s="57">
        <f t="shared" si="1"/>
        <v>2.5181237892283824E-3</v>
      </c>
    </row>
    <row r="130" spans="6:19" ht="15.75" thickBot="1" x14ac:dyDescent="0.3">
      <c r="F130" s="58" t="s">
        <v>65</v>
      </c>
      <c r="G130" s="59">
        <f>95*0.00006309</f>
        <v>5.9935499999999994E-3</v>
      </c>
      <c r="H130" s="60">
        <f>Q_pH</f>
        <v>5.9815990897978139E-3</v>
      </c>
      <c r="I130" s="61">
        <f t="shared" si="1"/>
        <v>1.9939618760476644E-3</v>
      </c>
    </row>
    <row r="131" spans="6:19" ht="15.75" thickTop="1" x14ac:dyDescent="0.25"/>
    <row r="138" spans="6:19" x14ac:dyDescent="0.25">
      <c r="S138" t="s">
        <v>188</v>
      </c>
    </row>
    <row r="161" spans="19:19" x14ac:dyDescent="0.25">
      <c r="S161" t="s">
        <v>189</v>
      </c>
    </row>
  </sheetData>
  <mergeCells count="1">
    <mergeCell ref="F121:I121"/>
  </mergeCells>
  <hyperlinks>
    <hyperlink ref="B5" r:id="rId1" xr:uid="{B446A54D-56B3-480A-B164-1EA8AABF26BC}"/>
  </hyperlinks>
  <pageMargins left="0.7" right="0.7" top="0.75" bottom="0.75" header="0.3" footer="0.3"/>
  <pageSetup paperSize="9" orientation="portrait" horizontalDpi="1200" verticalDpi="120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7600D-0081-41CE-9DEA-AD37A3E0C448}">
  <sheetPr codeName="Feuil2">
    <pageSetUpPr fitToPage="1"/>
  </sheetPr>
  <dimension ref="A2:AA74"/>
  <sheetViews>
    <sheetView showGridLines="0" tabSelected="1" zoomScale="85" zoomScaleNormal="85" workbookViewId="0">
      <selection activeCell="B13" sqref="B13"/>
    </sheetView>
  </sheetViews>
  <sheetFormatPr baseColWidth="10" defaultColWidth="11.42578125" defaultRowHeight="15" x14ac:dyDescent="0.25"/>
  <cols>
    <col min="1" max="1" width="4.7109375" customWidth="1"/>
    <col min="5" max="5" width="11.42578125" customWidth="1"/>
    <col min="10" max="12" width="11.42578125" customWidth="1"/>
    <col min="13" max="13" width="5.140625" customWidth="1"/>
    <col min="17" max="17" width="27.5703125" customWidth="1"/>
    <col min="18" max="18" width="11.42578125" customWidth="1"/>
    <col min="21" max="21" width="11.42578125" customWidth="1"/>
    <col min="23" max="23" width="5.140625" customWidth="1"/>
    <col min="26" max="26" width="7.28515625" customWidth="1"/>
  </cols>
  <sheetData>
    <row r="2" spans="1:27" s="2" customFormat="1" ht="21" x14ac:dyDescent="0.35">
      <c r="C2" s="3"/>
      <c r="E2" s="14" t="s">
        <v>17</v>
      </c>
    </row>
    <row r="3" spans="1:27" ht="21" x14ac:dyDescent="0.35">
      <c r="E3" s="14" t="s">
        <v>200</v>
      </c>
    </row>
    <row r="4" spans="1:27" x14ac:dyDescent="0.25">
      <c r="B4" s="62" t="s">
        <v>191</v>
      </c>
      <c r="Q4" s="30" t="s">
        <v>13</v>
      </c>
      <c r="R4" s="31"/>
      <c r="S4" s="31"/>
      <c r="T4" s="31"/>
      <c r="U4" s="6"/>
      <c r="V4" s="6"/>
      <c r="W4" s="6"/>
      <c r="X4" s="6"/>
      <c r="Y4" s="10"/>
      <c r="AA4" s="7"/>
    </row>
    <row r="5" spans="1:27" ht="15.75" thickBot="1" x14ac:dyDescent="0.3">
      <c r="B5" s="15" t="s">
        <v>82</v>
      </c>
      <c r="Q5" s="32" t="s">
        <v>94</v>
      </c>
      <c r="R5" s="31"/>
      <c r="S5" s="31"/>
      <c r="T5" s="31"/>
      <c r="U5" s="6"/>
      <c r="V5" s="6"/>
      <c r="W5" s="6"/>
      <c r="X5" s="6"/>
      <c r="Y5" s="10"/>
      <c r="AA5" s="7"/>
    </row>
    <row r="6" spans="1:27" ht="15.75" thickBot="1" x14ac:dyDescent="0.3">
      <c r="Q6" s="41" t="s">
        <v>113</v>
      </c>
      <c r="R6" s="34" t="s">
        <v>58</v>
      </c>
      <c r="S6" s="39">
        <v>1.0547793730044283E-2</v>
      </c>
      <c r="T6" s="33" t="s">
        <v>95</v>
      </c>
      <c r="U6" s="6"/>
      <c r="V6" s="6"/>
      <c r="W6" s="6"/>
      <c r="X6" s="6"/>
      <c r="Y6" s="10"/>
    </row>
    <row r="7" spans="1:27" ht="15.75" thickBot="1" x14ac:dyDescent="0.3">
      <c r="B7" s="16" t="s">
        <v>83</v>
      </c>
      <c r="Q7" s="41" t="s">
        <v>116</v>
      </c>
      <c r="R7" s="34" t="s">
        <v>142</v>
      </c>
      <c r="S7" s="39">
        <v>4.5661946402464695E-3</v>
      </c>
      <c r="T7" s="33" t="s">
        <v>95</v>
      </c>
      <c r="U7" s="6"/>
      <c r="V7" s="6"/>
      <c r="W7" s="6"/>
      <c r="X7" s="6"/>
      <c r="Y7" s="10"/>
    </row>
    <row r="8" spans="1:27" ht="15.75" thickBot="1" x14ac:dyDescent="0.3">
      <c r="A8" s="1"/>
      <c r="B8" s="17" t="s">
        <v>3</v>
      </c>
      <c r="D8" s="18"/>
      <c r="Q8" s="41" t="s">
        <v>115</v>
      </c>
      <c r="R8" s="34" t="s">
        <v>63</v>
      </c>
      <c r="S8" s="39">
        <v>1.5134887483180459E-3</v>
      </c>
      <c r="T8" s="33" t="s">
        <v>95</v>
      </c>
      <c r="U8" s="6"/>
      <c r="V8" s="6"/>
      <c r="W8" s="6"/>
      <c r="X8" s="6"/>
      <c r="Y8" s="10"/>
    </row>
    <row r="9" spans="1:27" ht="15.75" thickBot="1" x14ac:dyDescent="0.3">
      <c r="A9" s="1"/>
      <c r="B9" s="19" t="s">
        <v>4</v>
      </c>
      <c r="D9" s="20"/>
      <c r="Q9" s="32" t="s">
        <v>7</v>
      </c>
      <c r="R9" s="31"/>
      <c r="S9" s="31"/>
      <c r="T9" s="31"/>
      <c r="U9" s="29"/>
      <c r="V9" s="6"/>
      <c r="X9" s="6"/>
      <c r="Y9" s="10"/>
    </row>
    <row r="10" spans="1:27" ht="15.75" thickBot="1" x14ac:dyDescent="0.3">
      <c r="A10" s="1"/>
      <c r="B10" s="19" t="s">
        <v>84</v>
      </c>
      <c r="D10" s="21"/>
      <c r="Q10" s="42" t="s">
        <v>110</v>
      </c>
      <c r="R10" s="31"/>
      <c r="S10" s="45">
        <f xml:space="preserve"> dH_pA + dH_pB + dH_pC + dH_pD - sL</f>
        <v>1.9073485901799359E-8</v>
      </c>
      <c r="T10" s="33" t="s">
        <v>92</v>
      </c>
      <c r="U10" s="29" t="s">
        <v>109</v>
      </c>
      <c r="V10" s="6"/>
      <c r="X10" s="6"/>
      <c r="Y10" s="10"/>
    </row>
    <row r="11" spans="1:27" ht="15.75" thickBot="1" x14ac:dyDescent="0.3">
      <c r="B11" s="4" t="s">
        <v>8</v>
      </c>
      <c r="Q11" s="42" t="s">
        <v>111</v>
      </c>
      <c r="R11" s="34"/>
      <c r="S11" s="45">
        <f xml:space="preserve"> dH_pE + dH_pF + dH_pH - dH_pB</f>
        <v>-2.6822090148925781E-7</v>
      </c>
      <c r="T11" s="33" t="s">
        <v>92</v>
      </c>
      <c r="U11" s="29" t="s">
        <v>102</v>
      </c>
      <c r="V11" s="6"/>
      <c r="X11" s="6"/>
      <c r="Y11" s="10"/>
    </row>
    <row r="12" spans="1:27" ht="15.75" thickBot="1" x14ac:dyDescent="0.3">
      <c r="B12" s="22" t="s">
        <v>85</v>
      </c>
      <c r="Q12" s="42" t="s">
        <v>112</v>
      </c>
      <c r="R12" s="34"/>
      <c r="S12" s="45">
        <f xml:space="preserve"> dH_pG - dH_pF</f>
        <v>2.384185791015625E-7</v>
      </c>
      <c r="T12" s="33" t="s">
        <v>92</v>
      </c>
      <c r="U12" s="29" t="s">
        <v>103</v>
      </c>
      <c r="V12" s="6"/>
      <c r="W12" s="6"/>
      <c r="X12" s="6"/>
      <c r="Y12" s="10"/>
    </row>
    <row r="13" spans="1:27" x14ac:dyDescent="0.25">
      <c r="B13" s="29" t="s">
        <v>106</v>
      </c>
      <c r="Q13" s="5"/>
      <c r="R13" s="5"/>
      <c r="S13" s="6"/>
      <c r="T13" s="6"/>
      <c r="U13" s="6"/>
      <c r="V13" s="6"/>
      <c r="W13" s="6"/>
      <c r="X13" s="6"/>
      <c r="Y13" s="10"/>
    </row>
    <row r="14" spans="1:27" ht="15.75" thickBot="1" x14ac:dyDescent="0.3">
      <c r="Q14" s="36" t="s">
        <v>74</v>
      </c>
      <c r="R14" s="5"/>
      <c r="S14" s="6"/>
      <c r="T14" s="6"/>
      <c r="U14" s="6"/>
      <c r="V14" s="6"/>
      <c r="X14" s="6"/>
      <c r="Y14" s="10"/>
    </row>
    <row r="15" spans="1:27" ht="15.75" thickBot="1" x14ac:dyDescent="0.3">
      <c r="Q15" s="43" t="s">
        <v>117</v>
      </c>
      <c r="R15" s="6" t="s">
        <v>60</v>
      </c>
      <c r="S15" s="35">
        <f xml:space="preserve"> Q_pA</f>
        <v>1.0547793730044283E-2</v>
      </c>
      <c r="T15" s="22" t="s">
        <v>95</v>
      </c>
      <c r="U15" s="29" t="s">
        <v>96</v>
      </c>
      <c r="X15" s="6"/>
      <c r="Y15" s="10"/>
      <c r="AA15" s="7"/>
    </row>
    <row r="16" spans="1:27" ht="15.75" thickBot="1" x14ac:dyDescent="0.3">
      <c r="Q16" s="43" t="s">
        <v>118</v>
      </c>
      <c r="R16" s="6" t="s">
        <v>61</v>
      </c>
      <c r="S16" s="35">
        <f xml:space="preserve"> Q_pA</f>
        <v>1.0547793730044283E-2</v>
      </c>
      <c r="T16" s="22" t="s">
        <v>95</v>
      </c>
      <c r="U16" s="29" t="s">
        <v>96</v>
      </c>
      <c r="X16" s="6"/>
    </row>
    <row r="17" spans="2:24" ht="15.75" thickBot="1" x14ac:dyDescent="0.3">
      <c r="Q17" s="43" t="s">
        <v>114</v>
      </c>
      <c r="R17" s="6" t="s">
        <v>62</v>
      </c>
      <c r="S17" s="39">
        <f xml:space="preserve"> Q_pA - Q_pB</f>
        <v>5.9815990897978139E-3</v>
      </c>
      <c r="T17" s="22" t="s">
        <v>95</v>
      </c>
      <c r="U17" s="29" t="s">
        <v>143</v>
      </c>
      <c r="X17" s="6"/>
    </row>
    <row r="18" spans="2:24" ht="15.75" thickBot="1" x14ac:dyDescent="0.3">
      <c r="B18" s="16" t="s">
        <v>9</v>
      </c>
      <c r="Q18" s="43" t="s">
        <v>119</v>
      </c>
      <c r="R18" s="6" t="s">
        <v>64</v>
      </c>
      <c r="S18" s="35">
        <f xml:space="preserve"> Q_pE - Q_pF</f>
        <v>4.468110341479768E-3</v>
      </c>
      <c r="T18" s="22" t="s">
        <v>95</v>
      </c>
      <c r="U18" s="29" t="s">
        <v>97</v>
      </c>
      <c r="X18" s="6"/>
    </row>
    <row r="19" spans="2:24" ht="15.75" thickBot="1" x14ac:dyDescent="0.3">
      <c r="B19" s="17" t="s">
        <v>2</v>
      </c>
      <c r="D19" s="6" t="s">
        <v>10</v>
      </c>
      <c r="E19" s="18">
        <v>1</v>
      </c>
      <c r="Q19" s="43" t="s">
        <v>120</v>
      </c>
      <c r="R19" s="6" t="s">
        <v>65</v>
      </c>
      <c r="S19" s="35">
        <f xml:space="preserve"> Q_pE</f>
        <v>5.9815990897978139E-3</v>
      </c>
      <c r="T19" s="22" t="s">
        <v>95</v>
      </c>
      <c r="U19" s="29" t="s">
        <v>98</v>
      </c>
      <c r="X19" s="6"/>
    </row>
    <row r="20" spans="2:24" x14ac:dyDescent="0.25">
      <c r="B20" s="17"/>
    </row>
    <row r="21" spans="2:24" ht="15.75" thickBot="1" x14ac:dyDescent="0.3">
      <c r="B21" s="16" t="s">
        <v>16</v>
      </c>
      <c r="Q21" s="16" t="s">
        <v>166</v>
      </c>
      <c r="R21" s="16"/>
      <c r="S21" s="16"/>
      <c r="U21" s="36"/>
    </row>
    <row r="22" spans="2:24" ht="15.75" thickBot="1" x14ac:dyDescent="0.3">
      <c r="B22" s="17" t="s">
        <v>0</v>
      </c>
      <c r="C22" s="9"/>
      <c r="D22" s="6" t="s">
        <v>5</v>
      </c>
      <c r="E22" s="28">
        <f>62.32*16.018</f>
        <v>998.24176</v>
      </c>
      <c r="F22" s="22" t="s">
        <v>90</v>
      </c>
      <c r="R22" s="6" t="s">
        <v>107</v>
      </c>
      <c r="S22" s="40">
        <f xml:space="preserve"> H_pt1 - H_pt5</f>
        <v>30.48</v>
      </c>
      <c r="T22" s="22" t="s">
        <v>92</v>
      </c>
      <c r="U22" s="29" t="s">
        <v>108</v>
      </c>
    </row>
    <row r="23" spans="2:24" ht="15.75" thickBot="1" x14ac:dyDescent="0.3">
      <c r="B23" s="17" t="s">
        <v>1</v>
      </c>
      <c r="C23" s="12"/>
      <c r="D23" s="13" t="s">
        <v>6</v>
      </c>
      <c r="E23" s="63">
        <v>1.0034E-6</v>
      </c>
      <c r="F23" s="22" t="s">
        <v>91</v>
      </c>
    </row>
    <row r="24" spans="2:24" x14ac:dyDescent="0.25">
      <c r="B24" s="9"/>
      <c r="C24" s="12"/>
      <c r="D24" s="13"/>
      <c r="E24" s="11"/>
      <c r="F24" s="9"/>
    </row>
    <row r="25" spans="2:24" ht="15.75" thickBot="1" x14ac:dyDescent="0.3">
      <c r="B25" s="16" t="s">
        <v>79</v>
      </c>
      <c r="F25" s="9"/>
    </row>
    <row r="26" spans="2:24" ht="15.75" thickBot="1" x14ac:dyDescent="0.3">
      <c r="B26" s="23" t="s">
        <v>80</v>
      </c>
      <c r="C26" s="6" t="s">
        <v>100</v>
      </c>
      <c r="D26" s="18">
        <f>100*0.3048</f>
        <v>30.48</v>
      </c>
      <c r="E26" s="22" t="s">
        <v>92</v>
      </c>
      <c r="F26" s="9"/>
    </row>
    <row r="27" spans="2:24" ht="15.75" thickBot="1" x14ac:dyDescent="0.3">
      <c r="B27" s="23" t="s">
        <v>81</v>
      </c>
      <c r="C27" s="6" t="s">
        <v>101</v>
      </c>
      <c r="D27" s="18">
        <f>0*0.3048</f>
        <v>0</v>
      </c>
      <c r="E27" s="22" t="s">
        <v>92</v>
      </c>
    </row>
    <row r="29" spans="2:24" x14ac:dyDescent="0.25">
      <c r="B29" s="16" t="s">
        <v>11</v>
      </c>
      <c r="V29" s="8"/>
    </row>
    <row r="30" spans="2:24" ht="15.75" thickBot="1" x14ac:dyDescent="0.3">
      <c r="B30" s="23" t="s">
        <v>12</v>
      </c>
      <c r="C30" s="70" t="s">
        <v>86</v>
      </c>
      <c r="D30" s="70"/>
      <c r="E30" s="70" t="s">
        <v>87</v>
      </c>
      <c r="F30" s="70"/>
      <c r="G30" s="70" t="s">
        <v>88</v>
      </c>
      <c r="H30" s="70"/>
      <c r="J30" s="25" t="s">
        <v>89</v>
      </c>
      <c r="L30" s="26"/>
      <c r="S30" s="25" t="s">
        <v>99</v>
      </c>
      <c r="U30" s="26"/>
    </row>
    <row r="31" spans="2:24" ht="15.75" thickBot="1" x14ac:dyDescent="0.3">
      <c r="B31" s="23" t="s">
        <v>18</v>
      </c>
      <c r="C31" s="6" t="s">
        <v>19</v>
      </c>
      <c r="D31" s="18">
        <f>1.5*0.0254</f>
        <v>3.8099999999999995E-2</v>
      </c>
      <c r="E31" s="6" t="s">
        <v>20</v>
      </c>
      <c r="F31" s="18">
        <f>10*0.3048</f>
        <v>3.048</v>
      </c>
      <c r="G31" s="6" t="s">
        <v>21</v>
      </c>
      <c r="H31" s="24">
        <f t="shared" ref="H31:H38" si="0">0.00085*0.3048</f>
        <v>2.5908000000000002E-4</v>
      </c>
      <c r="J31" s="23" t="s">
        <v>18</v>
      </c>
      <c r="K31" s="6" t="s">
        <v>50</v>
      </c>
      <c r="L31" s="27">
        <f xml:space="preserve"> _xll.PipeStraightCircularCrossSection_dP(D_pA,L_pA,Q_pA,rho,nu,,e_pA,,,Cd,J31)</f>
        <v>114932.34375</v>
      </c>
      <c r="M31" s="22" t="s">
        <v>93</v>
      </c>
      <c r="N31" s="29" t="s">
        <v>204</v>
      </c>
      <c r="O31" s="29"/>
      <c r="S31" s="23" t="s">
        <v>18</v>
      </c>
      <c r="T31" s="6" t="s">
        <v>66</v>
      </c>
      <c r="U31" s="37">
        <f>_xll.HeadLoss_dP_Rho_g(dP_pA,rho)</f>
        <v>11.740479469299316</v>
      </c>
      <c r="V31" s="22" t="s">
        <v>92</v>
      </c>
      <c r="W31" s="29" t="s">
        <v>192</v>
      </c>
    </row>
    <row r="32" spans="2:24" ht="15.75" thickBot="1" x14ac:dyDescent="0.3">
      <c r="B32" s="23" t="s">
        <v>22</v>
      </c>
      <c r="C32" s="6" t="s">
        <v>23</v>
      </c>
      <c r="D32" s="18">
        <f>1.5*0.0254</f>
        <v>3.8099999999999995E-2</v>
      </c>
      <c r="E32" s="6" t="s">
        <v>24</v>
      </c>
      <c r="F32" s="18">
        <f>20*0.3048</f>
        <v>6.0960000000000001</v>
      </c>
      <c r="G32" s="6" t="s">
        <v>25</v>
      </c>
      <c r="H32" s="24">
        <f t="shared" si="0"/>
        <v>2.5908000000000002E-4</v>
      </c>
      <c r="J32" s="23" t="s">
        <v>22</v>
      </c>
      <c r="K32" s="6" t="s">
        <v>51</v>
      </c>
      <c r="L32" s="27">
        <f xml:space="preserve"> _xll.PipeStraightCircularCrossSection_dP(D_pB,L_pB,Q_pB,rho,nu,,e_pB,,,Cd,J32)</f>
        <v>43446.06640625</v>
      </c>
      <c r="M32" s="22" t="s">
        <v>93</v>
      </c>
      <c r="N32" s="29" t="s">
        <v>205</v>
      </c>
      <c r="O32" s="29"/>
      <c r="S32" s="23" t="s">
        <v>22</v>
      </c>
      <c r="T32" s="6" t="s">
        <v>67</v>
      </c>
      <c r="U32" s="37">
        <f>_xll.HeadLoss_dP_Rho_g(dP_pB,rho)</f>
        <v>4.4380688667297363</v>
      </c>
      <c r="V32" s="22" t="s">
        <v>92</v>
      </c>
      <c r="W32" s="29" t="s">
        <v>193</v>
      </c>
    </row>
    <row r="33" spans="2:23" ht="15.75" thickBot="1" x14ac:dyDescent="0.3">
      <c r="B33" s="23" t="s">
        <v>26</v>
      </c>
      <c r="C33" s="6" t="s">
        <v>27</v>
      </c>
      <c r="D33" s="18">
        <f>2*0.0254</f>
        <v>5.0799999999999998E-2</v>
      </c>
      <c r="E33" s="6" t="s">
        <v>28</v>
      </c>
      <c r="F33" s="18">
        <f>10*0.3048</f>
        <v>3.048</v>
      </c>
      <c r="G33" s="6" t="s">
        <v>29</v>
      </c>
      <c r="H33" s="24">
        <f t="shared" si="0"/>
        <v>2.5908000000000002E-4</v>
      </c>
      <c r="J33" s="23" t="s">
        <v>26</v>
      </c>
      <c r="K33" s="6" t="s">
        <v>52</v>
      </c>
      <c r="L33" s="27">
        <f xml:space="preserve"> _xll.PipeStraightCircularCrossSection_dP(D_pC,L_pC,Q_pC,rho,nu,,e_pC,,,Cd,J33)</f>
        <v>25070.400390625</v>
      </c>
      <c r="M33" s="22" t="s">
        <v>93</v>
      </c>
      <c r="N33" s="29" t="s">
        <v>206</v>
      </c>
      <c r="O33" s="29"/>
      <c r="S33" s="23" t="s">
        <v>26</v>
      </c>
      <c r="T33" s="6" t="s">
        <v>68</v>
      </c>
      <c r="U33" s="37">
        <f>_xll.HeadLoss_dP_Rho_g(dP_pC,rho)</f>
        <v>2.5609722137451172</v>
      </c>
      <c r="V33" s="22" t="s">
        <v>92</v>
      </c>
      <c r="W33" s="29" t="s">
        <v>194</v>
      </c>
    </row>
    <row r="34" spans="2:23" ht="15.75" thickBot="1" x14ac:dyDescent="0.3">
      <c r="B34" s="23" t="s">
        <v>30</v>
      </c>
      <c r="C34" s="6" t="s">
        <v>31</v>
      </c>
      <c r="D34" s="18">
        <f>1.5*0.0254</f>
        <v>3.8099999999999995E-2</v>
      </c>
      <c r="E34" s="6" t="s">
        <v>32</v>
      </c>
      <c r="F34" s="18">
        <f>10*0.3048</f>
        <v>3.048</v>
      </c>
      <c r="G34" s="6" t="s">
        <v>33</v>
      </c>
      <c r="H34" s="24">
        <f t="shared" si="0"/>
        <v>2.5908000000000002E-4</v>
      </c>
      <c r="J34" s="23" t="s">
        <v>30</v>
      </c>
      <c r="K34" s="6" t="s">
        <v>53</v>
      </c>
      <c r="L34" s="27">
        <f xml:space="preserve"> _xll.PipeStraightCircularCrossSection_dP(D_pD,L_pD,Q_pD,rho,nu,,e_pD,,,Cd,J34)</f>
        <v>114932.34375</v>
      </c>
      <c r="M34" s="22" t="s">
        <v>93</v>
      </c>
      <c r="N34" s="29" t="s">
        <v>207</v>
      </c>
      <c r="O34" s="29"/>
      <c r="S34" s="23" t="s">
        <v>30</v>
      </c>
      <c r="T34" s="6" t="s">
        <v>69</v>
      </c>
      <c r="U34" s="37">
        <f>_xll.HeadLoss_dP_Rho_g(dP_pD,rho)</f>
        <v>11.740479469299316</v>
      </c>
      <c r="V34" s="22" t="s">
        <v>92</v>
      </c>
      <c r="W34" s="29" t="s">
        <v>195</v>
      </c>
    </row>
    <row r="35" spans="2:23" ht="15.75" thickBot="1" x14ac:dyDescent="0.3">
      <c r="B35" s="23" t="s">
        <v>34</v>
      </c>
      <c r="C35" s="6" t="s">
        <v>35</v>
      </c>
      <c r="D35" s="18">
        <f>1.5*0.0254</f>
        <v>3.8099999999999995E-2</v>
      </c>
      <c r="E35" s="6" t="s">
        <v>36</v>
      </c>
      <c r="F35" s="18">
        <f>5*0.3048</f>
        <v>1.524</v>
      </c>
      <c r="G35" s="6" t="s">
        <v>37</v>
      </c>
      <c r="H35" s="24">
        <f t="shared" si="0"/>
        <v>2.5908000000000002E-4</v>
      </c>
      <c r="J35" s="23" t="s">
        <v>34</v>
      </c>
      <c r="K35" s="6" t="s">
        <v>54</v>
      </c>
      <c r="L35" s="27">
        <f xml:space="preserve"> _xll.PipeStraightCircularCrossSection_dP(D_pE,L_pE,Q_pE,rho,nu,,e_pE,,,Cd,J35)</f>
        <v>18573.306640625</v>
      </c>
      <c r="M35" s="22" t="s">
        <v>93</v>
      </c>
      <c r="N35" s="29" t="s">
        <v>208</v>
      </c>
      <c r="O35" s="29"/>
      <c r="S35" s="23" t="s">
        <v>34</v>
      </c>
      <c r="T35" s="6" t="s">
        <v>70</v>
      </c>
      <c r="U35" s="37">
        <f>_xll.HeadLoss_dP_Rho_g(dP_pE,rho)</f>
        <v>1.897286057472229</v>
      </c>
      <c r="V35" s="22" t="s">
        <v>92</v>
      </c>
      <c r="W35" s="29" t="s">
        <v>196</v>
      </c>
    </row>
    <row r="36" spans="2:23" ht="15.75" thickBot="1" x14ac:dyDescent="0.3">
      <c r="B36" s="23" t="s">
        <v>38</v>
      </c>
      <c r="C36" s="6" t="s">
        <v>39</v>
      </c>
      <c r="D36" s="18">
        <f>1*0.0254</f>
        <v>2.5399999999999999E-2</v>
      </c>
      <c r="E36" s="6" t="s">
        <v>40</v>
      </c>
      <c r="F36" s="18">
        <f>10*0.3048</f>
        <v>3.048</v>
      </c>
      <c r="G36" s="6" t="s">
        <v>41</v>
      </c>
      <c r="H36" s="24">
        <f t="shared" si="0"/>
        <v>2.5908000000000002E-4</v>
      </c>
      <c r="J36" s="23" t="s">
        <v>38</v>
      </c>
      <c r="K36" s="6" t="s">
        <v>55</v>
      </c>
      <c r="L36" s="27">
        <f xml:space="preserve"> _xll.PipeStraightCircularCrossSection_dP(D_pF,L_pF,Q_pF,rho,nu,,e_pF,,,Cd,J36)</f>
        <v>20806.55078125</v>
      </c>
      <c r="M36" s="22" t="s">
        <v>93</v>
      </c>
      <c r="N36" s="29" t="s">
        <v>209</v>
      </c>
      <c r="O36" s="29"/>
      <c r="S36" s="23" t="s">
        <v>38</v>
      </c>
      <c r="T36" s="6" t="s">
        <v>71</v>
      </c>
      <c r="U36" s="37">
        <f>_xll.HeadLoss_dP_Rho_g(dP_pF,rho)</f>
        <v>2.1254146099090576</v>
      </c>
      <c r="V36" s="22" t="s">
        <v>92</v>
      </c>
      <c r="W36" s="29" t="s">
        <v>197</v>
      </c>
    </row>
    <row r="37" spans="2:23" ht="15.75" thickBot="1" x14ac:dyDescent="0.3">
      <c r="B37" s="23" t="s">
        <v>42</v>
      </c>
      <c r="C37" s="6" t="s">
        <v>43</v>
      </c>
      <c r="D37" s="18">
        <f>1.5*0.0254</f>
        <v>3.8099999999999995E-2</v>
      </c>
      <c r="E37" s="6" t="s">
        <v>44</v>
      </c>
      <c r="F37" s="18">
        <f>10*0.3048</f>
        <v>3.048</v>
      </c>
      <c r="G37" s="6" t="s">
        <v>45</v>
      </c>
      <c r="H37" s="24">
        <f t="shared" si="0"/>
        <v>2.5908000000000002E-4</v>
      </c>
      <c r="J37" s="23" t="s">
        <v>42</v>
      </c>
      <c r="K37" s="6" t="s">
        <v>56</v>
      </c>
      <c r="L37" s="27">
        <f xml:space="preserve"> _xll.PipeStraightCircularCrossSection_dP(D_pG,L_pG,Q_pG,rho,nu,,e_pG,,,Cd,J37)</f>
        <v>20806.552734375</v>
      </c>
      <c r="M37" s="22" t="s">
        <v>93</v>
      </c>
      <c r="N37" s="29" t="s">
        <v>210</v>
      </c>
      <c r="O37" s="29"/>
      <c r="S37" s="23" t="s">
        <v>42</v>
      </c>
      <c r="T37" s="6" t="s">
        <v>72</v>
      </c>
      <c r="U37" s="37">
        <f>_xll.HeadLoss_dP_Rho_g(dP_pG,rho)</f>
        <v>2.1254148483276367</v>
      </c>
      <c r="V37" s="22" t="s">
        <v>92</v>
      </c>
      <c r="W37" s="29" t="s">
        <v>198</v>
      </c>
    </row>
    <row r="38" spans="2:23" ht="15.75" thickBot="1" x14ac:dyDescent="0.3">
      <c r="B38" s="23" t="s">
        <v>46</v>
      </c>
      <c r="C38" s="6" t="s">
        <v>47</v>
      </c>
      <c r="D38" s="18">
        <f>2*0.0254</f>
        <v>5.0799999999999998E-2</v>
      </c>
      <c r="E38" s="6" t="s">
        <v>48</v>
      </c>
      <c r="F38" s="18">
        <f>5*0.3048</f>
        <v>1.524</v>
      </c>
      <c r="G38" s="6" t="s">
        <v>49</v>
      </c>
      <c r="H38" s="24">
        <f t="shared" si="0"/>
        <v>2.5908000000000002E-4</v>
      </c>
      <c r="J38" s="23" t="s">
        <v>46</v>
      </c>
      <c r="K38" s="6" t="s">
        <v>57</v>
      </c>
      <c r="L38" s="27">
        <f xml:space="preserve"> _xll.PipeStraightCircularCrossSection_dP(D_pH,L_pH,Q_pH,rho,nu,,e_pH,,,Cd,J38)</f>
        <v>4066.2060546875</v>
      </c>
      <c r="M38" s="22" t="s">
        <v>93</v>
      </c>
      <c r="N38" s="29" t="s">
        <v>211</v>
      </c>
      <c r="O38" s="29"/>
      <c r="S38" s="23" t="s">
        <v>46</v>
      </c>
      <c r="T38" s="6" t="s">
        <v>73</v>
      </c>
      <c r="U38" s="37">
        <f>_xll.HeadLoss_dP_Rho_g(dP_pH,rho)</f>
        <v>0.41536793112754822</v>
      </c>
      <c r="V38" s="22" t="s">
        <v>92</v>
      </c>
      <c r="W38" s="29" t="s">
        <v>199</v>
      </c>
    </row>
    <row r="40" spans="2:23" x14ac:dyDescent="0.25">
      <c r="V40" s="8"/>
    </row>
    <row r="41" spans="2:23" x14ac:dyDescent="0.25">
      <c r="V41" s="8"/>
    </row>
    <row r="42" spans="2:23" x14ac:dyDescent="0.25">
      <c r="B42" s="5"/>
      <c r="C42" s="6"/>
      <c r="G42" s="6"/>
      <c r="H42" s="11"/>
      <c r="V42" s="8"/>
    </row>
    <row r="43" spans="2:23" x14ac:dyDescent="0.25">
      <c r="V43" s="8"/>
    </row>
    <row r="44" spans="2:23" x14ac:dyDescent="0.25">
      <c r="V44" s="8"/>
    </row>
    <row r="45" spans="2:23" x14ac:dyDescent="0.25">
      <c r="V45" s="8"/>
    </row>
    <row r="46" spans="2:23" x14ac:dyDescent="0.25">
      <c r="V46" s="8"/>
    </row>
    <row r="47" spans="2:23" x14ac:dyDescent="0.25">
      <c r="V47" s="8"/>
    </row>
    <row r="48" spans="2:23" x14ac:dyDescent="0.25">
      <c r="V48" s="8"/>
    </row>
    <row r="49" spans="12:22" x14ac:dyDescent="0.25">
      <c r="L49" s="7"/>
      <c r="V49" s="8"/>
    </row>
    <row r="50" spans="12:22" x14ac:dyDescent="0.25">
      <c r="V50" s="8"/>
    </row>
    <row r="51" spans="12:22" x14ac:dyDescent="0.25">
      <c r="V51" s="8"/>
    </row>
    <row r="52" spans="12:22" x14ac:dyDescent="0.25">
      <c r="V52" s="8"/>
    </row>
    <row r="53" spans="12:22" x14ac:dyDescent="0.25">
      <c r="V53" s="8"/>
    </row>
    <row r="54" spans="12:22" x14ac:dyDescent="0.25">
      <c r="V54" s="8"/>
    </row>
    <row r="55" spans="12:22" x14ac:dyDescent="0.25">
      <c r="V55" s="8"/>
    </row>
    <row r="56" spans="12:22" x14ac:dyDescent="0.25">
      <c r="V56" s="8"/>
    </row>
    <row r="57" spans="12:22" x14ac:dyDescent="0.25">
      <c r="V57" s="8"/>
    </row>
    <row r="58" spans="12:22" x14ac:dyDescent="0.25">
      <c r="V58" s="8"/>
    </row>
    <row r="72" spans="10:11" x14ac:dyDescent="0.25">
      <c r="J72" s="8"/>
      <c r="K72" s="8"/>
    </row>
    <row r="73" spans="10:11" x14ac:dyDescent="0.25">
      <c r="J73" s="8"/>
      <c r="K73" s="8"/>
    </row>
    <row r="74" spans="10:11" x14ac:dyDescent="0.25">
      <c r="J74" s="8"/>
      <c r="K74" s="8"/>
    </row>
  </sheetData>
  <mergeCells count="3">
    <mergeCell ref="C30:D30"/>
    <mergeCell ref="E30:F30"/>
    <mergeCell ref="G30:H30"/>
  </mergeCells>
  <phoneticPr fontId="7" type="noConversion"/>
  <hyperlinks>
    <hyperlink ref="B5" r:id="rId1" xr:uid="{1832DE95-9EA6-4E17-A70C-C964BC0CB976}"/>
  </hyperlinks>
  <pageMargins left="0.25" right="0.25" top="0.75" bottom="0.75" header="0.3" footer="0.3"/>
  <pageSetup paperSize="9" scale="49" orientation="landscape" r:id="rId2"/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versions xmlns="http://schemas.microsoft.com/SolverFoundationForExcel/Version">
  <addinversion>3.1</addinversion>
</versions>
</file>

<file path=customXml/itemProps1.xml><?xml version="1.0" encoding="utf-8"?>
<ds:datastoreItem xmlns:ds="http://schemas.openxmlformats.org/officeDocument/2006/customXml" ds:itemID="{C1B8FE94-60C4-4C82-BB3D-E55D3C782D88}">
  <ds:schemaRefs>
    <ds:schemaRef ds:uri="http://schemas.microsoft.com/SolverFoundationForExcel/Vers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54</vt:i4>
      </vt:variant>
    </vt:vector>
  </HeadingPairs>
  <TitlesOfParts>
    <vt:vector size="56" baseType="lpstr">
      <vt:lpstr>Readme</vt:lpstr>
      <vt:lpstr>System</vt:lpstr>
      <vt:lpstr>Cd</vt:lpstr>
      <vt:lpstr>D_pA</vt:lpstr>
      <vt:lpstr>D_pB</vt:lpstr>
      <vt:lpstr>D_pC</vt:lpstr>
      <vt:lpstr>D_pD</vt:lpstr>
      <vt:lpstr>D_pE</vt:lpstr>
      <vt:lpstr>D_pF</vt:lpstr>
      <vt:lpstr>D_pG</vt:lpstr>
      <vt:lpstr>D_pH</vt:lpstr>
      <vt:lpstr>dH_pA</vt:lpstr>
      <vt:lpstr>dH_pB</vt:lpstr>
      <vt:lpstr>dH_pC</vt:lpstr>
      <vt:lpstr>dH_pD</vt:lpstr>
      <vt:lpstr>dH_pE</vt:lpstr>
      <vt:lpstr>dH_pF</vt:lpstr>
      <vt:lpstr>dH_pG</vt:lpstr>
      <vt:lpstr>dH_pH</vt:lpstr>
      <vt:lpstr>dP_pA</vt:lpstr>
      <vt:lpstr>dP_pB</vt:lpstr>
      <vt:lpstr>dP_pC</vt:lpstr>
      <vt:lpstr>dP_pD</vt:lpstr>
      <vt:lpstr>dP_pE</vt:lpstr>
      <vt:lpstr>dP_pF</vt:lpstr>
      <vt:lpstr>dP_pG</vt:lpstr>
      <vt:lpstr>dP_pH</vt:lpstr>
      <vt:lpstr>e_pA</vt:lpstr>
      <vt:lpstr>e_pB</vt:lpstr>
      <vt:lpstr>e_pC</vt:lpstr>
      <vt:lpstr>e_pD</vt:lpstr>
      <vt:lpstr>e_pE</vt:lpstr>
      <vt:lpstr>e_pF</vt:lpstr>
      <vt:lpstr>e_pG</vt:lpstr>
      <vt:lpstr>e_pH</vt:lpstr>
      <vt:lpstr>H_pt1</vt:lpstr>
      <vt:lpstr>H_pt5</vt:lpstr>
      <vt:lpstr>L_pA</vt:lpstr>
      <vt:lpstr>L_pB</vt:lpstr>
      <vt:lpstr>L_pC</vt:lpstr>
      <vt:lpstr>L_pD</vt:lpstr>
      <vt:lpstr>L_pE</vt:lpstr>
      <vt:lpstr>L_pF</vt:lpstr>
      <vt:lpstr>L_pG</vt:lpstr>
      <vt:lpstr>L_pH</vt:lpstr>
      <vt:lpstr>nu</vt:lpstr>
      <vt:lpstr>Q_pA</vt:lpstr>
      <vt:lpstr>Q_pB</vt:lpstr>
      <vt:lpstr>Q_pC</vt:lpstr>
      <vt:lpstr>Q_pD</vt:lpstr>
      <vt:lpstr>Q_pE</vt:lpstr>
      <vt:lpstr>Q_pF</vt:lpstr>
      <vt:lpstr>Q_pG</vt:lpstr>
      <vt:lpstr>Q_pH</vt:lpstr>
      <vt:lpstr>rho</vt:lpstr>
      <vt:lpstr>sL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François Corre</dc:creator>
  <cp:lastModifiedBy>François Corre</cp:lastModifiedBy>
  <cp:lastPrinted>2022-01-07T10:37:32Z</cp:lastPrinted>
  <dcterms:created xsi:type="dcterms:W3CDTF">2015-06-05T18:19:34Z</dcterms:created>
  <dcterms:modified xsi:type="dcterms:W3CDTF">2023-04-10T13:41:04Z</dcterms:modified>
</cp:coreProperties>
</file>